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S:\Production\Quality\Conflict_Minerals_Elimination_Statement\"/>
    </mc:Choice>
  </mc:AlternateContent>
  <workbookProtection workbookPassword="E31B" lockStructure="1"/>
  <bookViews>
    <workbookView xWindow="0" yWindow="0" windowWidth="19200" windowHeight="735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c r="B59" i="6"/>
  <c r="G59" i="6" s="1"/>
  <c r="B58" i="6"/>
  <c r="G58" i="6"/>
  <c r="B56" i="6"/>
  <c r="G56" i="6" s="1"/>
  <c r="B55" i="6"/>
  <c r="G55" i="6" s="1"/>
  <c r="B54" i="6"/>
  <c r="G54" i="6" s="1"/>
  <c r="B53" i="6"/>
  <c r="G53" i="6" s="1"/>
  <c r="B50" i="6"/>
  <c r="G50" i="6" s="1"/>
  <c r="H14" i="6"/>
  <c r="H61" i="4"/>
  <c r="B86" i="4"/>
  <c r="B23" i="6" l="1"/>
  <c r="B48"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28" i="6" l="1"/>
  <c r="B43" i="6"/>
  <c r="B38" i="6"/>
  <c r="B33" i="6"/>
  <c r="C13" i="6"/>
  <c r="B11" i="5"/>
  <c r="B5" i="5"/>
  <c r="B14" i="5"/>
  <c r="B6" i="5"/>
  <c r="B7" i="5"/>
  <c r="B8" i="5"/>
  <c r="B9" i="5"/>
  <c r="C11" i="5"/>
  <c r="C5" i="5"/>
  <c r="C14" i="5"/>
  <c r="C6" i="5"/>
  <c r="C7" i="5"/>
  <c r="C8" i="5"/>
  <c r="C9" i="5"/>
  <c r="C10" i="5"/>
  <c r="B10" i="5"/>
  <c r="C12" i="6"/>
  <c r="C11" i="6"/>
  <c r="C10" i="6"/>
  <c r="C8" i="6"/>
  <c r="C7" i="6"/>
  <c r="C4"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B30" i="6"/>
  <c r="G30" i="6" s="1"/>
  <c r="F41" i="6"/>
  <c r="B41" i="6"/>
  <c r="G41" i="6" s="1"/>
  <c r="H41" i="6" s="1"/>
  <c r="F63" i="6"/>
  <c r="F36"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D25" i="6" l="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R38" i="5"/>
  <c r="F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42" i="5"/>
  <c r="T565" i="5"/>
  <c r="T455" i="5"/>
  <c r="T140" i="5"/>
  <c r="T270" i="5"/>
  <c r="T103" i="5"/>
  <c r="T558" i="5"/>
  <c r="T442" i="5"/>
  <c r="T353" i="5"/>
  <c r="T194" i="5"/>
  <c r="T160" i="5"/>
  <c r="T101" i="5"/>
  <c r="T44" i="5"/>
  <c r="T161" i="5"/>
  <c r="T46"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43" i="5"/>
  <c r="T540" i="5"/>
  <c r="T487" i="5"/>
  <c r="T373" i="5"/>
  <c r="T408" i="5"/>
  <c r="T482" i="5"/>
  <c r="T249" i="5"/>
  <c r="T234" i="5"/>
  <c r="T279" i="5"/>
  <c r="T117" i="5"/>
  <c r="T48"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47" i="5"/>
  <c r="T63" i="5"/>
  <c r="T282" i="5"/>
  <c r="T236" i="5"/>
  <c r="T193" i="5"/>
  <c r="T170" i="5"/>
  <c r="T166" i="5"/>
  <c r="T566" i="5"/>
  <c r="T506" i="5"/>
  <c r="T126" i="5"/>
  <c r="T520" i="5"/>
  <c r="T486" i="5"/>
  <c r="T387" i="5"/>
  <c r="T246" i="5"/>
  <c r="T243" i="5"/>
  <c r="T134" i="5"/>
  <c r="T114" i="5"/>
  <c r="T97" i="5"/>
  <c r="T169" i="5"/>
  <c r="T178" i="5"/>
  <c r="T38" i="5"/>
  <c r="T31" i="5"/>
  <c r="T36" i="5"/>
  <c r="T32" i="5"/>
  <c r="T28" i="5"/>
  <c r="T14" i="5"/>
  <c r="S17" i="5"/>
  <c r="T35" i="5"/>
  <c r="T8" i="5"/>
  <c r="T39" i="5"/>
  <c r="T30" i="5"/>
  <c r="T29" i="5"/>
  <c r="T5" i="5"/>
  <c r="T18" i="5"/>
  <c r="T9" i="5"/>
  <c r="T23" i="5"/>
  <c r="T25" i="5"/>
  <c r="T13" i="5"/>
  <c r="T17" i="5"/>
  <c r="T41" i="5"/>
  <c r="T15" i="5"/>
  <c r="T27" i="5"/>
  <c r="T26" i="5"/>
  <c r="T24" i="5"/>
  <c r="S33" i="5"/>
  <c r="T16" i="5"/>
  <c r="T20" i="5"/>
  <c r="T11" i="5"/>
  <c r="T21" i="5"/>
  <c r="T40" i="5"/>
  <c r="T22" i="5"/>
  <c r="T10" i="5"/>
  <c r="T37" i="5"/>
  <c r="T34" i="5"/>
  <c r="T19" i="5"/>
  <c r="T6" i="5"/>
  <c r="T33" i="5"/>
  <c r="T12" i="5"/>
  <c r="T7" i="5"/>
  <c r="H65" i="6" l="1"/>
  <c r="D65" i="6" s="1"/>
  <c r="C65" i="6"/>
  <c r="H64" i="6"/>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46" i="5"/>
  <c r="S386" i="5"/>
  <c r="S506" i="5"/>
  <c r="S47"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39" i="5"/>
  <c r="S37" i="5"/>
  <c r="S31" i="5"/>
  <c r="S27" i="5"/>
  <c r="S13" i="5"/>
  <c r="S23" i="5"/>
  <c r="S24" i="5"/>
  <c r="S36" i="5"/>
  <c r="S12" i="5"/>
  <c r="S40" i="5"/>
  <c r="S14" i="5"/>
  <c r="S26" i="5"/>
  <c r="S35" i="5"/>
  <c r="S21" i="5"/>
  <c r="S25" i="5"/>
  <c r="S20" i="5"/>
  <c r="S28" i="5"/>
  <c r="S16" i="5"/>
  <c r="S41" i="5"/>
  <c r="S7" i="5"/>
  <c r="S6" i="5"/>
  <c r="S10" i="5"/>
  <c r="S8" i="5"/>
  <c r="S30" i="5"/>
  <c r="S9" i="5"/>
  <c r="S32" i="5"/>
  <c r="S29" i="5"/>
  <c r="S34" i="5"/>
  <c r="S18" i="5"/>
  <c r="S22" i="5"/>
  <c r="S19" i="5"/>
  <c r="S15" i="5"/>
  <c r="S5" i="5"/>
  <c r="S38" i="5"/>
  <c r="S11"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<sst xmlns="http://schemas.openxmlformats.org/spreadsheetml/2006/main" count="21751" uniqueCount="15547">
  <si>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</si>
  <si>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</si>
  <si>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</si>
  <si>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</si>
  <si>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</si>
  <si>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</si>
  <si>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</si>
  <si>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</si>
  <si>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</si>
  <si>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</si>
  <si>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</si>
  <si>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</si>
  <si>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</si>
  <si>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</si>
  <si>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</si>
  <si>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</si>
  <si>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</si>
  <si>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</si>
  <si>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</si>
  <si>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</si>
  <si>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</si>
  <si>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</si>
  <si>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</si>
  <si>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</si>
  <si>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</si>
  <si>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</si>
  <si>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</si>
  <si>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</si>
  <si>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</si>
  <si>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</si>
  <si>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</si>
  <si>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</si>
  <si>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</si>
  <si>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</si>
  <si>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</si>
  <si>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</si>
  <si>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</si>
  <si>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</si>
  <si>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</si>
  <si>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</si>
  <si>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</si>
  <si>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</si>
  <si>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</si>
  <si>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</si>
  <si>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</si>
  <si>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</si>
  <si>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</si>
  <si>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</si>
  <si>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</si>
  <si>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</si>
  <si>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</si>
  <si>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</si>
  <si>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</si>
  <si>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</si>
  <si>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</si>
  <si>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</si>
  <si>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</si>
  <si>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</si>
  <si>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</si>
  <si>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</si>
  <si>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</si>
  <si>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</si>
  <si>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</si>
  <si>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</si>
  <si>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</si>
  <si>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</si>
  <si>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</si>
  <si>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</si>
  <si>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</si>
  <si>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</si>
  <si>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</si>
  <si>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</si>
  <si>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</si>
  <si>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</si>
  <si>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</si>
  <si>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</si>
  <si>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</si>
  <si>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</si>
  <si>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</si>
  <si>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</si>
  <si>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</si>
  <si>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</si>
  <si>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</si>
  <si>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</si>
  <si>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</si>
  <si>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</si>
  <si>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</si>
  <si>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</si>
  <si>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</si>
  <si>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</si>
  <si>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</si>
  <si>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</si>
  <si>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</si>
  <si>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</si>
  <si>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</si>
  <si>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</si>
  <si>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</si>
  <si>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</si>
  <si>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</si>
  <si>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</si>
  <si>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</si>
  <si>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</si>
  <si>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</si>
  <si>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</si>
  <si>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</si>
  <si>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</si>
  <si>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</si>
  <si>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</si>
  <si>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</si>
  <si>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</si>
  <si>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</si>
  <si>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</si>
  <si>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</si>
  <si>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</si>
  <si>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</si>
  <si>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</si>
  <si>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</si>
  <si>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</si>
  <si>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</si>
  <si>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</si>
  <si>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</si>
  <si>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</si>
  <si>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</si>
  <si>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</si>
  <si>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</si>
  <si>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</si>
  <si>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</si>
  <si>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</si>
  <si>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</si>
  <si>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</si>
  <si>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</si>
  <si>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</si>
  <si>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</si>
  <si>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</si>
  <si>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</si>
  <si>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</si>
  <si>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</si>
  <si>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</si>
  <si>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</si>
  <si>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</si>
  <si>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</si>
  <si>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</si>
  <si>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</si>
  <si>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</si>
  <si>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</si>
  <si>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</si>
  <si>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</si>
  <si>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</si>
  <si>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</si>
  <si>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</si>
  <si>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</si>
  <si>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</si>
  <si>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</si>
  <si>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</si>
  <si>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</si>
  <si>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</si>
  <si>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</si>
  <si>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</si>
  <si>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</si>
  <si>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</si>
  <si>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</si>
  <si>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</si>
  <si>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</si>
  <si>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</si>
  <si>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</si>
  <si>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</si>
  <si>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</si>
  <si>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</si>
  <si>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</si>
  <si>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</si>
  <si>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</si>
  <si>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</si>
  <si>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</si>
  <si>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</si>
  <si>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</si>
  <si>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</si>
  <si>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</si>
  <si>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</si>
  <si>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</si>
  <si>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</si>
  <si>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</si>
  <si>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</si>
  <si>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</si>
  <si>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</si>
  <si>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</si>
  <si>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</si>
  <si>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</si>
  <si>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</si>
  <si>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</si>
  <si>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</si>
  <si>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</si>
  <si>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</si>
  <si>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</si>
  <si>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</si>
  <si>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</si>
  <si>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</si>
  <si>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</si>
  <si>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</si>
  <si>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</si>
  <si>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</si>
  <si>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</si>
  <si>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</si>
  <si>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</si>
  <si>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</si>
  <si>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</si>
  <si>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</si>
  <si>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</si>
  <si>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</si>
  <si>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</si>
  <si>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</si>
  <si>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</si>
  <si>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</si>
  <si>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</si>
  <si>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</si>
  <si>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</si>
  <si>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</si>
  <si>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</si>
  <si>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</si>
  <si>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</si>
  <si>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</si>
  <si>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</si>
  <si>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</si>
  <si>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</si>
  <si>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</si>
  <si>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</si>
  <si>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</si>
  <si>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</si>
  <si>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</si>
  <si>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</si>
  <si>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</si>
  <si>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</si>
  <si>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</si>
  <si>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</si>
  <si>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</si>
  <si>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</si>
  <si>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</si>
  <si>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</si>
  <si>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</si>
  <si>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</si>
  <si>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</si>
  <si>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</si>
  <si>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</si>
  <si>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</si>
  <si>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</si>
  <si>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</si>
  <si>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</si>
  <si>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</si>
  <si>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</si>
  <si>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</si>
  <si>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</si>
  <si>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</si>
  <si>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</si>
  <si>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</si>
  <si>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</si>
  <si>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</si>
  <si>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</si>
  <si>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</si>
  <si>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</si>
  <si>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</si>
  <si>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</si>
  <si>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</si>
  <si>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</si>
  <si>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</si>
  <si>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</si>
  <si>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</si>
  <si>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</si>
  <si>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</si>
  <si>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</si>
  <si>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</si>
  <si>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</si>
  <si>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</si>
  <si>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</si>
  <si>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</si>
  <si>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</si>
  <si>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</si>
  <si>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</si>
  <si>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</si>
  <si>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</si>
  <si>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</si>
  <si>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</si>
  <si>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</si>
  <si>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</si>
  <si>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</si>
  <si>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</si>
  <si>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</si>
  <si>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</si>
  <si>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</si>
  <si>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</si>
  <si>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</si>
  <si>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</si>
  <si>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</si>
  <si>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</si>
  <si>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</si>
  <si>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</si>
  <si>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</si>
  <si>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</si>
  <si>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</si>
  <si>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</si>
  <si>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</si>
  <si>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</si>
  <si>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</si>
  <si>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</si>
  <si>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</si>
  <si>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</si>
  <si>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</si>
  <si>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</si>
  <si>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</si>
  <si>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</si>
  <si>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</si>
  <si>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</si>
  <si>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</si>
  <si>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</si>
  <si>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</si>
  <si>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</si>
  <si>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</si>
  <si>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</si>
  <si>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</si>
  <si>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</si>
  <si>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</si>
  <si>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</si>
  <si>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</si>
  <si>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</si>
  <si>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</si>
  <si>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</si>
  <si>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</si>
  <si>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</si>
  <si>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</si>
  <si>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</si>
  <si>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</si>
  <si>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</si>
  <si>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</si>
  <si>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</si>
  <si>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</si>
  <si>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</si>
  <si>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</si>
  <si>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</si>
  <si>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</si>
  <si>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</si>
  <si>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</si>
  <si>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</si>
  <si>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</si>
  <si>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</si>
  <si>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</si>
  <si>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</si>
  <si>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</si>
  <si>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</si>
  <si>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</si>
  <si>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</si>
  <si>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</si>
  <si>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</si>
  <si>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</si>
  <si>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</si>
  <si>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</si>
  <si>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</si>
  <si>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</si>
  <si>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</si>
  <si>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</si>
  <si>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</si>
  <si>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</si>
  <si>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</si>
  <si>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</si>
  <si>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</si>
  <si>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</si>
  <si>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</si>
  <si>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</si>
  <si>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</si>
  <si>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</si>
  <si>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</si>
  <si>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</si>
  <si>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</si>
  <si>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</si>
  <si>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</si>
  <si>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</si>
  <si>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</si>
  <si>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</si>
  <si>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</si>
  <si>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</si>
  <si>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</si>
  <si>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</si>
  <si>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</si>
  <si>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</si>
  <si>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</si>
  <si>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</si>
  <si>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</si>
  <si>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</si>
  <si>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</si>
  <si>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</si>
  <si>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</si>
  <si>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</si>
  <si>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</si>
  <si>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</si>
  <si>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</si>
  <si>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</si>
  <si>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</si>
  <si>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</si>
  <si>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</si>
  <si>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</si>
  <si>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</si>
  <si>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</si>
  <si>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</si>
  <si>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</si>
  <si>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</si>
  <si>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</si>
  <si>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</si>
  <si>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</si>
  <si>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</si>
  <si>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</si>
  <si>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</si>
  <si>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</si>
  <si>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</si>
  <si>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</si>
  <si>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</si>
  <si>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</si>
  <si>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</si>
  <si>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</si>
  <si>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</si>
  <si>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</si>
  <si>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</si>
  <si>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</si>
  <si>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</si>
  <si>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</si>
  <si>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</si>
  <si>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</si>
  <si>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</si>
  <si>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</si>
  <si>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</si>
  <si>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</si>
  <si>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</si>
  <si>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</si>
  <si>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</si>
  <si>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</si>
  <si>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</si>
  <si>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</si>
  <si>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</si>
  <si>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</si>
  <si>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</si>
  <si>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</si>
  <si>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</si>
  <si>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</si>
  <si>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</si>
  <si>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</si>
  <si>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</si>
  <si>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</si>
  <si>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</si>
  <si>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</si>
  <si>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</si>
  <si>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</si>
  <si>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</si>
  <si>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</si>
  <si>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</si>
  <si>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</si>
  <si>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</si>
  <si>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</si>
  <si>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</si>
  <si>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</si>
  <si>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</si>
  <si>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</si>
  <si>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</si>
  <si>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</si>
  <si>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</si>
  <si>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</si>
  <si>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</si>
  <si>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</si>
  <si>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</si>
  <si>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</si>
  <si>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</si>
  <si>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</si>
  <si>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</si>
  <si>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</si>
  <si>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</si>
  <si>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</si>
  <si>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</si>
  <si>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</si>
  <si>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</si>
  <si>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</si>
  <si>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</si>
  <si>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</si>
  <si>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</si>
  <si>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</si>
  <si>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</si>
  <si>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</si>
  <si>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</si>
  <si>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</si>
  <si>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</si>
  <si>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</si>
  <si>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</si>
  <si>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</si>
  <si>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</si>
  <si>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</si>
  <si>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</si>
  <si>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</si>
  <si>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</si>
  <si>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</si>
  <si>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</si>
  <si>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</si>
  <si>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</si>
  <si>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</si>
  <si>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</si>
  <si>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</si>
  <si>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</si>
  <si>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</si>
  <si>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</si>
  <si>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</si>
  <si>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</si>
  <si>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</si>
  <si>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</si>
  <si>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</si>
  <si>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</si>
  <si>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</si>
  <si>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</si>
  <si>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</si>
  <si>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</si>
  <si>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</si>
  <si>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</si>
  <si>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</si>
  <si>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</si>
  <si>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</si>
  <si>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</si>
  <si>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</si>
  <si>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</si>
  <si>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</si>
  <si>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</si>
  <si>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</si>
  <si>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</si>
  <si>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</si>
  <si>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</si>
  <si>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</si>
  <si>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</si>
  <si>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</si>
  <si>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</si>
  <si>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</si>
  <si>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</si>
  <si>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</si>
  <si>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</si>
  <si>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</si>
  <si>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</si>
  <si>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</si>
  <si>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</si>
  <si>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</si>
  <si>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</si>
  <si>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</si>
  <si>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</si>
  <si>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</si>
  <si>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</si>
  <si>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</si>
  <si>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</si>
  <si>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</si>
  <si>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</si>
  <si>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</si>
  <si>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</si>
  <si>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</si>
  <si>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</si>
  <si>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</si>
  <si>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</si>
  <si>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</si>
  <si>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</si>
  <si>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</si>
  <si>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</si>
  <si>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</si>
  <si>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</si>
  <si>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</si>
  <si>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</si>
  <si>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</si>
  <si>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</si>
  <si>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</si>
  <si>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</si>
  <si>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</si>
  <si>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</si>
  <si>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</si>
  <si>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</si>
  <si>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</si>
  <si>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</si>
  <si>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</si>
  <si>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</si>
  <si>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</si>
  <si>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</si>
  <si>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</si>
  <si>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</si>
  <si>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</si>
  <si>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</si>
  <si>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</si>
  <si>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</si>
  <si>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</si>
  <si>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</si>
  <si>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</si>
  <si>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</si>
  <si>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</si>
  <si>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</si>
  <si>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</si>
  <si>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</si>
  <si>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</si>
  <si>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</si>
  <si>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</si>
  <si>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</si>
  <si>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</si>
  <si>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</si>
  <si>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</si>
  <si>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</si>
  <si>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</si>
  <si>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</si>
  <si>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</si>
  <si>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</si>
  <si>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</si>
  <si>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</si>
  <si>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</si>
  <si>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</si>
  <si>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</si>
  <si>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</si>
  <si>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</si>
  <si>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</si>
  <si>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</si>
  <si>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</si>
  <si>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</si>
  <si>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</si>
  <si>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</si>
  <si>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</si>
  <si>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</si>
  <si>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</si>
  <si>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</si>
  <si>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</si>
  <si>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</si>
  <si>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</si>
  <si>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</si>
  <si>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</si>
  <si>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</si>
  <si>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</si>
  <si>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</si>
  <si>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</si>
  <si>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</si>
  <si>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</si>
  <si>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</si>
  <si>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</si>
  <si>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</si>
  <si>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</si>
  <si>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</si>
  <si>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</si>
  <si>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</si>
  <si>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</si>
  <si>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</si>
  <si>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</si>
  <si>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</si>
  <si>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</si>
  <si>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</si>
  <si>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</si>
  <si>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</si>
  <si>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</si>
  <si>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</si>
  <si>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</si>
  <si>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</si>
  <si>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</si>
  <si>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</si>
  <si>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</si>
  <si>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</si>
  <si>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</si>
  <si>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</si>
  <si>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</si>
  <si>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</si>
  <si>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</si>
  <si>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</si>
  <si>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</si>
  <si>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</si>
  <si>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</si>
  <si>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</si>
  <si>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</si>
  <si>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</si>
  <si>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</si>
  <si>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</si>
  <si>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</si>
  <si>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</si>
  <si>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</si>
  <si>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</si>
  <si>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</si>
  <si>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</si>
  <si>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</si>
  <si>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</si>
  <si>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</si>
  <si>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</si>
  <si>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</si>
  <si>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</si>
  <si>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</si>
  <si>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</si>
  <si>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</si>
  <si>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</si>
  <si>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</si>
  <si>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</si>
  <si>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</si>
  <si>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</si>
  <si>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</si>
  <si>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</si>
  <si>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</si>
  <si>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</si>
  <si>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</si>
  <si>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</si>
  <si>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</si>
  <si>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</si>
  <si>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</si>
  <si>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</si>
  <si>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</si>
  <si>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</si>
  <si>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</si>
  <si>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</si>
  <si>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</si>
  <si>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</si>
  <si>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</si>
  <si>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</si>
  <si>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</si>
  <si>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</si>
  <si>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</si>
  <si>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</si>
  <si>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</si>
  <si>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</si>
  <si>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</si>
  <si>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</si>
  <si>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</si>
  <si>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</si>
  <si>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</si>
  <si>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</si>
  <si>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</si>
  <si>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</si>
  <si>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</si>
  <si>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</si>
  <si>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</si>
  <si>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</si>
  <si>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</si>
  <si>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</si>
  <si>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</si>
  <si>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</si>
  <si>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</si>
  <si>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</si>
  <si>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</si>
  <si>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</si>
  <si>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</si>
  <si>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</si>
  <si>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</si>
  <si>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</si>
  <si>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</si>
  <si>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</si>
  <si>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</si>
  <si>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</si>
  <si>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</si>
  <si>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</si>
  <si>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</si>
  <si>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</si>
  <si>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</si>
  <si>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</si>
  <si>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</si>
  <si>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</si>
  <si>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</si>
  <si>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</si>
  <si>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</si>
  <si>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</si>
  <si>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</si>
  <si>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</si>
  <si>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</si>
  <si>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</si>
  <si>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</si>
  <si>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</si>
  <si>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</si>
  <si>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</si>
  <si>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</si>
  <si>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</si>
  <si>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</si>
  <si>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</si>
  <si>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</si>
  <si>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</si>
  <si>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</si>
  <si>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</si>
  <si>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</si>
  <si>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</si>
  <si>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</si>
  <si>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</si>
  <si>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</si>
  <si>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</si>
  <si>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</si>
  <si>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</si>
  <si>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</si>
  <si>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</si>
  <si>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</si>
  <si>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</si>
  <si>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</si>
  <si>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</si>
  <si>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</si>
  <si>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</si>
  <si>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</si>
  <si>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</si>
  <si>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</si>
  <si>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</si>
  <si>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</si>
  <si>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</si>
  <si>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</si>
  <si>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</si>
  <si>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</si>
  <si>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</si>
  <si>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</si>
  <si>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</si>
  <si>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</si>
  <si>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</si>
  <si>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</si>
  <si>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</si>
  <si>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</si>
  <si>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</si>
  <si>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</si>
  <si>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</si>
  <si>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</si>
  <si>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</si>
  <si>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</si>
  <si>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</si>
  <si>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</si>
  <si>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</si>
  <si>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</si>
  <si>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</si>
  <si>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</si>
  <si>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</si>
  <si>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</si>
  <si>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</si>
  <si>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</si>
  <si>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</si>
  <si>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</si>
  <si>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</si>
  <si>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</si>
  <si>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</si>
  <si>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</si>
  <si>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</si>
  <si>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</si>
  <si>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</si>
  <si>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</si>
  <si>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</si>
  <si>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</si>
  <si>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</si>
  <si>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</si>
  <si>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</si>
  <si>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</si>
  <si>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</si>
  <si>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</si>
  <si>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</si>
  <si>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</si>
  <si>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</si>
  <si>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</si>
  <si>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</si>
  <si>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</si>
  <si>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</si>
  <si>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</si>
  <si>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</si>
  <si>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</si>
  <si>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</si>
  <si>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</si>
  <si>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</si>
  <si>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</si>
  <si>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</si>
  <si>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</si>
  <si>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</si>
  <si>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</si>
  <si>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</si>
  <si>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</si>
  <si>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</si>
  <si>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</si>
  <si>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</si>
  <si>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</si>
  <si>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</si>
  <si>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</si>
  <si>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</si>
  <si>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</si>
  <si>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</si>
  <si>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</si>
  <si>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</si>
  <si>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</si>
  <si>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</si>
  <si>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</si>
  <si>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</si>
  <si>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</si>
  <si>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</si>
  <si>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</si>
  <si>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</si>
  <si>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</si>
  <si>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</si>
  <si>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</si>
  <si>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</si>
  <si>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</si>
  <si>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</si>
  <si>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</si>
  <si>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</si>
  <si>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</si>
  <si>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</si>
  <si>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</si>
  <si>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</si>
  <si>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</si>
  <si>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</si>
  <si>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</si>
  <si>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</si>
  <si>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</si>
  <si>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</si>
  <si>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</si>
  <si>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</si>
  <si>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</si>
  <si>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</si>
  <si>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</si>
  <si>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</si>
  <si>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</si>
  <si>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</si>
  <si>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</si>
  <si>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</si>
  <si>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</si>
  <si>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</si>
  <si>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</si>
  <si>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</si>
  <si>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</si>
  <si>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</si>
  <si>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</si>
  <si>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</si>
  <si>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</si>
  <si>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</si>
  <si>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</si>
  <si>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</si>
  <si>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</si>
  <si>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</si>
  <si>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</si>
  <si>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</si>
  <si>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</si>
  <si>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</si>
  <si>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</si>
  <si>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</si>
  <si>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</si>
  <si>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</si>
  <si>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</si>
  <si>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</si>
  <si>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</si>
  <si>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</si>
  <si>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</si>
  <si>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</si>
  <si>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</si>
  <si>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</si>
  <si>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</si>
  <si>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</si>
  <si>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</si>
  <si>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</si>
  <si>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</si>
  <si>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</si>
  <si>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</si>
  <si>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</si>
  <si>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</si>
  <si>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</si>
  <si>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</si>
  <si>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</si>
  <si>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</si>
  <si>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</si>
  <si>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</si>
  <si>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</si>
  <si>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</si>
  <si>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</si>
  <si>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</si>
  <si>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</si>
  <si>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</si>
  <si>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</si>
  <si>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</si>
  <si>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</si>
  <si>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</si>
  <si>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</si>
  <si>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</si>
  <si>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</si>
  <si>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</si>
  <si>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</si>
  <si>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</si>
  <si>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</si>
  <si>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</si>
  <si>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</si>
  <si>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</si>
  <si>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</si>
  <si>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</si>
  <si>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</si>
  <si>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</si>
  <si>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</si>
  <si>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</si>
  <si>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</si>
  <si>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</si>
  <si>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</si>
  <si>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</si>
  <si>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</si>
  <si>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</si>
  <si>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</si>
  <si>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</si>
  <si>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</si>
  <si>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</si>
  <si>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</si>
  <si>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</si>
  <si>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</si>
  <si>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</si>
  <si>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</si>
  <si>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</si>
  <si>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</si>
  <si>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</si>
  <si>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</si>
  <si>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</si>
  <si>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</si>
  <si>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</si>
  <si>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</si>
  <si>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</si>
  <si>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</si>
  <si>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</si>
  <si>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</si>
  <si>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</si>
  <si>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</si>
  <si>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</si>
  <si>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</si>
  <si>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</si>
  <si>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</si>
  <si>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</si>
  <si>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</si>
  <si>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</si>
  <si>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</si>
  <si>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</si>
  <si>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</si>
  <si>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</si>
  <si>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</si>
  <si>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</si>
  <si>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</si>
  <si>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</si>
  <si>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</si>
  <si>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</si>
  <si>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</si>
  <si>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</si>
  <si>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</si>
  <si>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</si>
  <si>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</si>
  <si>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</si>
  <si>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</si>
  <si>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</si>
  <si>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</si>
  <si>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</si>
  <si>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</si>
  <si>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</si>
  <si>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</si>
  <si>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</si>
  <si>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</si>
  <si>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</si>
  <si>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</si>
  <si>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</si>
  <si>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</si>
  <si>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</si>
  <si>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</si>
  <si>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</si>
  <si>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</si>
  <si>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</si>
  <si>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</si>
  <si>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</si>
  <si>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</si>
  <si>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</si>
  <si>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</si>
  <si>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</si>
  <si>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</si>
  <si>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</si>
  <si>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</si>
  <si>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</si>
  <si>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</si>
  <si>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</si>
  <si>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</si>
  <si>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</si>
  <si>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</si>
  <si>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</si>
  <si>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</si>
  <si>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</si>
  <si>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</si>
  <si>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</si>
  <si>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</si>
  <si>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</si>
  <si>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</si>
  <si>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</si>
  <si>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</si>
  <si>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</si>
  <si>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</si>
  <si>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</si>
  <si>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</si>
  <si>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</si>
  <si>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</si>
  <si>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</si>
  <si>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</si>
  <si>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</si>
  <si>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</si>
  <si>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</si>
  <si>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</si>
  <si>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</si>
  <si>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</si>
  <si>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</si>
  <si>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</si>
  <si>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</si>
  <si>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</si>
  <si>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</si>
  <si>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</si>
  <si>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</si>
  <si>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</si>
  <si>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</si>
  <si>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</si>
  <si>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</si>
  <si>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</si>
  <si>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</si>
  <si>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</si>
  <si>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</si>
  <si>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</si>
  <si>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</si>
  <si>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</si>
  <si>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</si>
  <si>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</si>
  <si>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</si>
  <si>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</si>
  <si>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</si>
  <si>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</si>
  <si>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</si>
  <si>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</si>
  <si>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</si>
  <si>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</si>
  <si>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</si>
  <si>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</si>
  <si>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</si>
  <si>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</si>
  <si>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</si>
  <si>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</si>
  <si>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</si>
  <si>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</si>
  <si>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</si>
  <si>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</si>
  <si>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</si>
  <si>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</si>
  <si>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</si>
  <si>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</si>
  <si>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</si>
  <si>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</si>
  <si>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</si>
  <si>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</si>
  <si>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</si>
  <si>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</si>
  <si>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</si>
  <si>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</si>
  <si>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</si>
  <si>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</si>
  <si>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</si>
  <si>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</si>
  <si>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</si>
  <si>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</si>
  <si>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</si>
  <si>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</si>
  <si>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</si>
  <si>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</si>
  <si>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</si>
  <si>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</si>
  <si>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</si>
  <si>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</si>
  <si>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</si>
  <si>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</si>
  <si>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</si>
  <si>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</si>
  <si>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</si>
  <si>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</si>
  <si>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</si>
  <si>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</si>
  <si>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</si>
  <si>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</si>
  <si>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</si>
  <si>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</si>
  <si>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</si>
  <si>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</si>
  <si>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</si>
  <si>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</si>
  <si>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</si>
  <si>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</si>
  <si>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</si>
  <si>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</si>
  <si>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</si>
  <si>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</si>
  <si>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</si>
  <si>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</si>
  <si>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</si>
  <si>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</si>
  <si>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</si>
  <si>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</si>
  <si>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</si>
  <si>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</si>
  <si>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</si>
  <si>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</si>
  <si>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</si>
  <si>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</si>
  <si>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</si>
  <si>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</si>
  <si>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</si>
  <si>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</si>
  <si>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</si>
  <si>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</si>
  <si>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</si>
  <si>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</si>
  <si>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</si>
  <si>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</si>
  <si>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</si>
  <si>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</si>
  <si>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</si>
  <si>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</si>
  <si>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</si>
  <si>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</si>
  <si>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</si>
  <si>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</si>
  <si>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</si>
  <si>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</si>
  <si>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</si>
  <si>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</si>
  <si>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</si>
  <si>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</si>
  <si>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</si>
  <si>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</si>
  <si>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</si>
  <si>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</si>
  <si>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</si>
  <si>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</si>
  <si>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</si>
  <si>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</si>
  <si>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</si>
  <si>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</si>
  <si>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</si>
  <si>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</si>
  <si>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</si>
  <si>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</si>
  <si>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</si>
  <si>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</si>
  <si>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</si>
  <si>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</si>
  <si>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</si>
  <si>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</si>
  <si>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</si>
  <si>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</si>
  <si>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</si>
  <si>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</si>
  <si>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</si>
  <si>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</si>
  <si>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</si>
  <si>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</si>
  <si>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</si>
  <si>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</si>
  <si>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</si>
  <si>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</si>
  <si>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</si>
  <si>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</si>
  <si>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</si>
  <si>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</si>
  <si>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</si>
  <si>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</si>
  <si>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</si>
  <si>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</si>
  <si>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</si>
  <si>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</si>
  <si>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</si>
  <si>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</si>
  <si>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</si>
  <si>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</si>
  <si>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</si>
  <si>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</si>
  <si>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</si>
  <si>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</si>
  <si>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</si>
  <si>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</si>
  <si>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</si>
  <si>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</si>
  <si>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</si>
  <si>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</si>
  <si>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</si>
  <si>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</si>
  <si>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</si>
  <si>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</si>
  <si>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</si>
  <si>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</si>
  <si>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</si>
  <si>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</si>
  <si>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</si>
  <si>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</si>
  <si>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</si>
  <si>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</si>
  <si>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</si>
  <si>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</si>
  <si>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</si>
  <si>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</si>
  <si>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</si>
  <si>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</si>
  <si>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</si>
  <si>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</si>
  <si>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</si>
  <si>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</si>
  <si>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</si>
  <si>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</si>
  <si>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</si>
  <si>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</si>
  <si>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</si>
  <si>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</si>
  <si>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</si>
  <si>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</si>
  <si>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</si>
  <si>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</si>
  <si>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</si>
  <si>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</si>
  <si>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</si>
  <si>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</si>
  <si>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</si>
  <si>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</si>
  <si>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</si>
  <si>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</si>
  <si>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</si>
  <si>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</si>
  <si>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</si>
  <si>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</si>
  <si>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</si>
  <si>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</si>
  <si>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</si>
  <si>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</si>
  <si>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</si>
  <si>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</si>
  <si>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</si>
  <si>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</si>
  <si>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</si>
  <si>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</si>
  <si>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</si>
  <si>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</si>
  <si>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</si>
  <si>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</si>
  <si>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</si>
  <si>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</si>
  <si>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</si>
  <si>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</si>
  <si>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</si>
  <si>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</si>
  <si>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</si>
  <si>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</si>
  <si>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</si>
  <si>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</si>
  <si>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</si>
  <si>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</si>
  <si>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</si>
  <si>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</si>
  <si>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</si>
  <si>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</si>
  <si>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</si>
  <si>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</si>
  <si>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</si>
  <si>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</si>
  <si>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</si>
  <si>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</si>
  <si>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</si>
  <si>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</si>
  <si>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</si>
  <si>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</si>
  <si>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</si>
  <si>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</si>
  <si>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</si>
  <si>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</si>
  <si>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</si>
  <si>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</si>
  <si>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</si>
  <si>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</si>
  <si>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</si>
  <si>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</si>
  <si>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</si>
  <si>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</si>
  <si>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</si>
  <si>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</si>
  <si>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</si>
  <si>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</si>
  <si>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</si>
  <si>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</si>
  <si>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</si>
  <si>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</si>
  <si>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</si>
  <si>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</si>
  <si>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</si>
  <si>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</si>
  <si>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</si>
  <si>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</si>
  <si>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</si>
  <si>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</si>
  <si>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</si>
  <si>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</si>
  <si>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</si>
  <si>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</si>
  <si>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</si>
  <si>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</si>
  <si>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</si>
  <si>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</si>
  <si>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</si>
  <si>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</si>
  <si>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</si>
  <si>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</si>
  <si>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</si>
  <si>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</si>
  <si>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</si>
  <si>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</si>
  <si>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</si>
  <si>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</si>
  <si>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</si>
  <si>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</si>
  <si>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</si>
  <si>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</si>
  <si>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</si>
  <si>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</si>
  <si>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</si>
  <si>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</si>
  <si>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</si>
  <si>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</si>
  <si>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</si>
  <si>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</si>
  <si>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</si>
  <si>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</si>
  <si>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</si>
  <si>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</si>
  <si>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</si>
  <si>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</si>
  <si>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</si>
  <si>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</si>
  <si>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</si>
  <si>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</si>
  <si>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</si>
  <si>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</si>
  <si>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</si>
  <si>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</si>
  <si>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</si>
  <si>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</si>
  <si>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</si>
  <si>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</si>
  <si>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</si>
  <si>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</si>
  <si>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</si>
  <si>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</si>
  <si>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</si>
  <si>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</si>
  <si>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</si>
  <si>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</si>
  <si>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</si>
  <si>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</si>
  <si>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</si>
  <si>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</si>
  <si>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</si>
  <si>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</si>
  <si>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</si>
  <si>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</si>
  <si>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</si>
  <si>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</si>
  <si>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</si>
  <si>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</si>
  <si>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</si>
  <si>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</si>
  <si>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</si>
  <si>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</si>
  <si>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</si>
  <si>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</si>
  <si>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</si>
  <si>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</si>
  <si>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</si>
  <si>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</si>
  <si>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</si>
  <si>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</si>
  <si>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</si>
  <si>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</si>
  <si>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</si>
  <si>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</si>
  <si>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</si>
  <si>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</si>
  <si>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</si>
  <si>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</si>
  <si>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</si>
  <si>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</si>
  <si>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</si>
  <si>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</si>
  <si>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</si>
  <si>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</si>
  <si>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</si>
  <si>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</si>
  <si>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</si>
  <si>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</si>
  <si>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</si>
  <si>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</si>
  <si>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</si>
  <si>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</si>
  <si>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</si>
  <si>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</si>
  <si>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</si>
  <si>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</si>
  <si>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</si>
  <si>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</si>
  <si>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</si>
  <si>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</si>
  <si>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</si>
  <si>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</si>
  <si>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</si>
  <si>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</si>
  <si>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</si>
  <si>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</si>
  <si>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</si>
  <si>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</si>
  <si>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</si>
  <si>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</si>
  <si>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</si>
  <si>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</si>
  <si>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</si>
  <si>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</si>
  <si>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</si>
  <si>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</si>
  <si>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</si>
  <si>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</si>
  <si>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</si>
  <si>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</si>
  <si>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</si>
  <si>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</si>
  <si>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</si>
  <si>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</si>
  <si>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</si>
  <si>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</si>
  <si>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</si>
  <si>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</si>
  <si>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</si>
  <si>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</si>
  <si>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</si>
  <si>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</si>
  <si>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</si>
  <si>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</si>
  <si>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</si>
  <si>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</si>
  <si>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</si>
  <si>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</si>
  <si>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</si>
  <si>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</si>
  <si>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</si>
  <si>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</si>
  <si>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</si>
  <si>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</si>
  <si>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</si>
  <si>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</si>
  <si>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</si>
  <si>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</si>
  <si>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</si>
  <si>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</si>
  <si>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</si>
  <si>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</si>
  <si>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</si>
  <si>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</si>
  <si>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</si>
  <si>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</si>
  <si>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</si>
  <si>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</si>
  <si>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</si>
  <si>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</si>
  <si>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</si>
  <si>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</si>
  <si>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</si>
  <si>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</si>
  <si>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</si>
  <si>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</si>
  <si>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</si>
  <si>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</si>
  <si>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</si>
  <si>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</si>
  <si>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</si>
  <si>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</si>
  <si>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</si>
  <si>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</si>
  <si>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</si>
  <si>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</si>
  <si>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</si>
  <si>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</si>
  <si>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</si>
  <si>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</si>
  <si>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</si>
  <si>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</si>
  <si>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</si>
  <si>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</si>
  <si>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</si>
  <si>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</si>
  <si>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</si>
  <si>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</si>
  <si>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</si>
  <si>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</si>
  <si>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</si>
  <si>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</si>
  <si>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</si>
  <si>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</si>
  <si>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</si>
  <si>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</si>
  <si>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</si>
  <si>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</si>
  <si>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</si>
  <si>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</si>
  <si>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</si>
  <si>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</si>
  <si>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</si>
  <si>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</si>
  <si>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</si>
  <si>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</si>
  <si>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</si>
  <si>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</si>
  <si>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</si>
  <si>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</si>
  <si>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</si>
  <si>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</si>
  <si>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</si>
  <si>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</si>
  <si>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</si>
  <si>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</si>
  <si>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</si>
  <si>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</si>
  <si>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</si>
  <si>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</si>
  <si>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</si>
  <si>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</si>
  <si>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</si>
  <si>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</si>
  <si>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</si>
  <si>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</si>
  <si>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</si>
  <si>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</si>
  <si>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</si>
  <si>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</si>
  <si>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</si>
  <si>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</si>
  <si>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</si>
  <si>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</si>
  <si>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</si>
  <si>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</si>
  <si>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</si>
  <si>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</si>
  <si>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</si>
  <si>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</si>
  <si>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</si>
  <si>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</si>
  <si>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</si>
  <si>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</si>
  <si>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</si>
  <si>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</si>
  <si>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</si>
  <si>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</si>
  <si>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</si>
  <si>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</si>
  <si>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</si>
  <si>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</si>
  <si>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</si>
  <si>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</si>
  <si>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</si>
  <si>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</si>
  <si>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</si>
  <si>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</si>
  <si>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</si>
  <si>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</si>
  <si>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</si>
  <si>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</si>
  <si>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</si>
  <si>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</si>
  <si>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</si>
  <si>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</si>
  <si>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</si>
  <si>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</si>
  <si>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</si>
  <si>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</si>
  <si>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</si>
  <si>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</si>
  <si>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</si>
  <si>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</si>
  <si>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</si>
  <si>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</si>
  <si>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</si>
  <si>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</si>
  <si>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</si>
  <si>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</si>
  <si>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</si>
  <si>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</si>
  <si>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</si>
  <si>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</si>
  <si>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</si>
  <si>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</si>
  <si>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</si>
  <si>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</si>
  <si>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</si>
  <si>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</si>
  <si>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</si>
  <si>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</si>
  <si>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</si>
  <si>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</si>
  <si>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</si>
  <si>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</si>
  <si>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</si>
  <si>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</si>
  <si>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</si>
  <si>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</si>
  <si>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</si>
  <si>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</si>
  <si>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</si>
  <si>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</si>
  <si>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</si>
  <si>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</si>
  <si>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</si>
  <si>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</si>
  <si>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</si>
  <si>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</si>
  <si>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</si>
  <si>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</si>
  <si>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</si>
  <si>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</si>
  <si>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</si>
  <si>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</si>
  <si>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</si>
  <si>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</si>
  <si>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</si>
  <si>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</si>
  <si>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</si>
  <si>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</si>
  <si>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</si>
  <si>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</si>
  <si>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</si>
  <si>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</si>
  <si>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</si>
  <si>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</si>
  <si>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</si>
  <si>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</si>
  <si>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</si>
  <si>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</si>
  <si>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</si>
  <si>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</si>
  <si>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</si>
  <si>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</si>
  <si>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</si>
  <si>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</si>
  <si>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</si>
  <si>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</si>
  <si>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</si>
  <si>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</si>
  <si>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</si>
  <si>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</si>
  <si>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</si>
  <si>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</si>
  <si>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</si>
  <si>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</si>
  <si>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</si>
  <si>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</si>
  <si>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</si>
  <si>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</si>
  <si>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</si>
  <si>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</si>
  <si>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</si>
  <si>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</si>
  <si>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</si>
  <si>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</si>
  <si>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</si>
  <si>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</si>
  <si>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</si>
  <si>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</si>
  <si>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</si>
  <si>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</si>
  <si>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</si>
  <si>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</si>
  <si>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</si>
  <si>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</si>
  <si>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</si>
  <si>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</si>
  <si>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</si>
  <si>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</si>
  <si>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</si>
  <si>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</si>
  <si>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</si>
  <si>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</si>
  <si>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</si>
  <si>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</si>
  <si>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</si>
  <si>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</si>
  <si>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</si>
  <si>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</si>
  <si>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</si>
  <si>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</si>
  <si>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</si>
  <si>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</si>
  <si>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</si>
  <si>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</si>
  <si>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</si>
  <si>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</si>
  <si>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</si>
  <si>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</si>
  <si>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</si>
  <si>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</si>
  <si>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</si>
  <si>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</si>
  <si>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</si>
  <si>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</si>
  <si>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</si>
  <si>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</si>
  <si>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</si>
  <si>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</si>
  <si>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</si>
  <si>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</si>
  <si>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</si>
  <si>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</si>
  <si>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</si>
  <si>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</si>
  <si>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</si>
  <si>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</si>
  <si>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</si>
  <si>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</si>
  <si>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</si>
  <si>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</si>
  <si>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</si>
  <si>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</si>
  <si>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</si>
  <si>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</si>
  <si>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</si>
  <si>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</si>
  <si>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</si>
  <si>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</si>
  <si>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</si>
  <si>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</si>
  <si>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</si>
  <si>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</si>
  <si>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</si>
  <si>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</si>
  <si>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</si>
  <si>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</si>
  <si>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</si>
  <si>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</si>
  <si>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</si>
  <si>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</si>
  <si>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</si>
  <si>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</si>
  <si>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</si>
  <si>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</si>
  <si>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</si>
  <si>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</si>
  <si>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</si>
  <si>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</si>
  <si>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</si>
  <si>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</si>
  <si>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</si>
  <si>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</si>
  <si>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</si>
  <si>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</si>
  <si>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</si>
  <si>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</si>
  <si>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</si>
  <si>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</si>
  <si>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</si>
  <si>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</si>
  <si>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</si>
  <si>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</si>
  <si>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</si>
  <si>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</si>
  <si>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</si>
  <si>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</si>
  <si>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</si>
  <si>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</si>
  <si>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</si>
  <si>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</si>
  <si>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</si>
  <si>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</si>
  <si>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</si>
  <si>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</si>
  <si>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</si>
  <si>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</si>
  <si>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</si>
  <si>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</si>
  <si>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</si>
  <si>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</si>
  <si>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</si>
  <si>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</si>
  <si>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</si>
  <si>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</si>
  <si>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</si>
  <si>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</si>
  <si>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</si>
  <si>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</si>
  <si>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</si>
  <si>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</si>
  <si>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</si>
  <si>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</si>
  <si>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</si>
  <si>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</si>
  <si>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</si>
  <si>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</si>
  <si>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</si>
  <si>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</si>
  <si>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</si>
  <si>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</si>
  <si>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</si>
  <si>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</si>
  <si>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</si>
  <si>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</si>
  <si>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</si>
  <si>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</si>
  <si>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</si>
  <si>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</si>
  <si>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</si>
  <si>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</si>
  <si>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</si>
  <si>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</si>
  <si>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</si>
  <si>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</si>
  <si>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</si>
  <si>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</si>
  <si>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</si>
  <si>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</si>
  <si>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</si>
  <si>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</si>
  <si>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</si>
  <si>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</si>
  <si>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</si>
  <si>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</si>
  <si>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</si>
  <si>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</si>
  <si>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</si>
  <si>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</si>
  <si>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</si>
  <si>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</si>
  <si>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</si>
  <si>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</si>
  <si>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</si>
  <si>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</si>
  <si>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</si>
  <si>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</si>
  <si>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</si>
  <si>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</si>
  <si>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</si>
  <si>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</si>
  <si>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</si>
  <si>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</si>
  <si>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</si>
  <si>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</si>
  <si>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</si>
  <si>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</si>
  <si>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</si>
  <si>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</si>
  <si>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</si>
  <si>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</si>
  <si>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</si>
  <si>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</si>
  <si>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</si>
  <si>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</si>
  <si>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</si>
  <si>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</si>
  <si>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</si>
  <si>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</si>
  <si>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</si>
  <si>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</si>
  <si>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</si>
  <si>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</si>
  <si>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</si>
  <si>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</si>
  <si>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</si>
  <si>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</si>
  <si>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</si>
  <si>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</si>
  <si>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</si>
  <si>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</si>
  <si>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</si>
  <si>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</si>
  <si>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</si>
  <si>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</si>
  <si>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</si>
  <si>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</si>
  <si>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</si>
  <si>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</si>
  <si>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</si>
  <si>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</si>
  <si>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</si>
  <si>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</si>
  <si>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</si>
  <si>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</si>
  <si>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</si>
  <si>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</si>
  <si>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</si>
  <si>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</si>
  <si>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</si>
  <si>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</si>
  <si>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</si>
  <si>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</si>
  <si>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</si>
  <si>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</si>
  <si>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</si>
  <si>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</si>
  <si>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</si>
  <si>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</si>
  <si>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</si>
  <si>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</si>
  <si>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</si>
  <si>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</si>
  <si>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</si>
  <si>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</si>
  <si>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</si>
  <si>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</si>
  <si>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</si>
  <si>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</si>
  <si>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</si>
  <si>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</si>
  <si>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</si>
  <si>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</si>
  <si>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</si>
  <si>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</si>
  <si>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</si>
  <si>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</si>
  <si>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</si>
  <si>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</si>
  <si>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</si>
  <si>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</si>
  <si>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</si>
  <si>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</si>
  <si>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</si>
  <si>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</si>
  <si>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</si>
  <si>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</si>
  <si>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</si>
  <si>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</si>
  <si>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</si>
  <si>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</si>
  <si>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</si>
  <si>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</si>
  <si>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</si>
  <si>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</si>
  <si>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</si>
  <si>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</si>
  <si>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</si>
  <si>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</si>
  <si>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</si>
  <si>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</si>
  <si>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</si>
  <si>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</si>
  <si>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</si>
  <si>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</si>
  <si>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</si>
  <si>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</si>
  <si>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</si>
  <si>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</si>
  <si>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</si>
  <si>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</si>
  <si>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</si>
  <si>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</si>
  <si>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</si>
  <si>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</si>
  <si>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</si>
  <si>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</si>
  <si>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</si>
  <si>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</si>
  <si>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</si>
  <si>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</si>
  <si>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</si>
  <si>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</si>
  <si>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</si>
  <si>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</si>
  <si>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</si>
  <si>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</si>
  <si>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</si>
  <si>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</si>
  <si>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</si>
  <si>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</si>
  <si>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</si>
  <si>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</si>
  <si>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</si>
  <si>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</si>
  <si>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</si>
  <si>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</si>
  <si>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</si>
  <si>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</si>
  <si>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</si>
  <si>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</si>
  <si>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</si>
  <si>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</si>
  <si>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</si>
  <si>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</si>
  <si>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</si>
  <si>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</si>
  <si>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</si>
  <si>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</si>
  <si>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</si>
  <si>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</si>
  <si>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</si>
  <si>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</si>
  <si>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</si>
  <si>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</si>
  <si>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</si>
  <si>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</si>
  <si>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</si>
  <si>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</si>
  <si>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</si>
  <si>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</si>
  <si>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</si>
  <si>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</si>
  <si>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</si>
  <si>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</si>
  <si>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</si>
  <si>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</si>
  <si>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</si>
  <si>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</si>
  <si>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</si>
  <si>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</si>
  <si>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</si>
  <si>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</si>
  <si>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</si>
  <si>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</si>
  <si>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</si>
  <si>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</si>
  <si>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</si>
  <si>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</si>
  <si>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</si>
  <si>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</si>
  <si>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</si>
  <si>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</si>
  <si>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</si>
  <si>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</si>
  <si>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</si>
  <si>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</si>
  <si>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</si>
  <si>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</si>
  <si>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</si>
  <si>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</si>
  <si>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</si>
  <si>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</si>
  <si>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</si>
  <si>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</si>
  <si>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</si>
  <si>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</si>
  <si>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</si>
  <si>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</si>
  <si>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</si>
  <si>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</si>
  <si>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</si>
  <si>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</si>
  <si>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</si>
  <si>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</si>
  <si>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</si>
  <si>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</si>
  <si>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</si>
  <si>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</si>
  <si>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</si>
  <si>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</si>
  <si>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</si>
  <si>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</si>
  <si>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</si>
  <si>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</si>
  <si>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</si>
  <si>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</si>
  <si>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</si>
  <si>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</si>
  <si>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</si>
  <si>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</si>
  <si>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</si>
  <si>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</si>
  <si>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</si>
  <si>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</si>
  <si>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</si>
  <si>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</si>
  <si>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</si>
  <si>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</si>
  <si>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</si>
  <si>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</si>
  <si>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</si>
  <si>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</si>
  <si>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</si>
  <si>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</si>
  <si>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</si>
  <si>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</si>
  <si>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</si>
  <si>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</si>
  <si>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</si>
  <si>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</si>
  <si>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</si>
  <si>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</si>
  <si>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</si>
  <si>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</si>
  <si>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</si>
  <si>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</si>
  <si>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</si>
  <si>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</si>
  <si>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</si>
  <si>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</si>
  <si>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</si>
  <si>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</si>
  <si>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</si>
  <si>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</si>
  <si>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</si>
  <si>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</si>
  <si>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</si>
  <si>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</si>
  <si>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</si>
  <si>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</si>
  <si>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</si>
  <si>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</si>
  <si>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</si>
  <si>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</si>
  <si>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</si>
  <si>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</si>
  <si>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</si>
  <si>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</si>
  <si>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</si>
  <si>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</si>
  <si>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</si>
  <si>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</si>
  <si>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</si>
  <si>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</si>
  <si>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</si>
  <si>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</si>
  <si>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</si>
  <si>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</si>
  <si>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</si>
  <si>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</si>
  <si>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</si>
  <si>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</si>
  <si>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</si>
  <si>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</si>
  <si>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</si>
  <si>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</si>
  <si>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</si>
  <si>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</si>
  <si>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</si>
  <si>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</si>
  <si>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</si>
  <si>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</si>
  <si>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</si>
  <si>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</si>
  <si>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</si>
  <si>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</si>
  <si>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</si>
  <si>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</si>
  <si>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</si>
  <si>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</si>
  <si>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</si>
  <si>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</si>
  <si>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</si>
  <si>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</si>
  <si>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</si>
  <si>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</si>
  <si>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</si>
  <si>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</si>
  <si>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</si>
  <si>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</si>
  <si>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</si>
  <si>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</si>
  <si>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</si>
  <si>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</si>
  <si>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</si>
  <si>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</si>
  <si>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</si>
  <si>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</si>
  <si>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</si>
  <si>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</si>
  <si>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</si>
  <si>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</si>
  <si>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</si>
  <si>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</si>
  <si>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</si>
  <si>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</si>
  <si>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</si>
  <si>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</si>
  <si>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</si>
  <si>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</si>
  <si>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</si>
  <si>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</si>
  <si>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</si>
  <si>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</si>
  <si>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</si>
  <si>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</si>
  <si>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</si>
  <si>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</si>
  <si>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</si>
  <si>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</si>
  <si>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</si>
  <si>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</si>
  <si>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</si>
  <si>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</si>
  <si>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</si>
  <si>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</si>
  <si>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</si>
  <si>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</si>
  <si>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</si>
  <si>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</si>
  <si>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</si>
  <si>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</si>
  <si>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</si>
  <si>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</si>
  <si>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</si>
  <si>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</si>
  <si>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</si>
  <si>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</si>
  <si>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</si>
  <si>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</si>
  <si>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</si>
  <si>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</si>
  <si>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</si>
  <si>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</si>
  <si>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</si>
  <si>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</si>
  <si>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</si>
  <si>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</si>
  <si>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</si>
  <si>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</si>
  <si>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</si>
  <si>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</si>
  <si>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</si>
  <si>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</si>
  <si>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</si>
  <si>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</si>
  <si>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</si>
  <si>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</si>
  <si>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</si>
  <si>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</si>
  <si>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</si>
  <si>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</si>
  <si>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</si>
  <si>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</si>
  <si>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</si>
  <si>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</si>
  <si>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</si>
  <si>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</si>
  <si>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</si>
  <si>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</si>
  <si>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</si>
  <si>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</si>
  <si>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</si>
  <si>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</si>
  <si>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</si>
  <si>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</si>
  <si>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</si>
  <si>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</si>
  <si>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</si>
  <si>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</si>
  <si>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</si>
  <si>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</si>
  <si>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</si>
  <si>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</si>
  <si>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</si>
  <si>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</si>
  <si>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</si>
  <si>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</si>
  <si>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</si>
  <si>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</si>
  <si>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</si>
  <si>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</si>
  <si>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</si>
  <si>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</si>
  <si>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</si>
  <si>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</si>
  <si>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</si>
  <si>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</si>
  <si>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</si>
  <si>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</si>
  <si>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</si>
  <si>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</si>
  <si>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</si>
  <si>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</si>
  <si>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</si>
  <si>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</si>
  <si>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</si>
  <si>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</si>
  <si>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</si>
  <si>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</si>
  <si>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</si>
  <si>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</si>
  <si>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</si>
  <si>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</si>
  <si>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</si>
  <si>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</si>
  <si>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</si>
  <si>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</si>
  <si>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</si>
  <si>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</si>
  <si>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</si>
  <si>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</si>
  <si>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</si>
  <si>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</si>
  <si>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</si>
  <si>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</si>
  <si>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</si>
  <si>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</si>
  <si>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</si>
  <si>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</si>
  <si>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</si>
  <si>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</si>
  <si>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</si>
  <si>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</si>
  <si>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</si>
  <si>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</si>
  <si>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</si>
  <si>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</si>
  <si>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</si>
  <si>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</si>
  <si>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</si>
  <si>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</si>
  <si>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</si>
  <si>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</si>
  <si>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</si>
  <si>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</si>
  <si>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</si>
  <si>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</si>
  <si>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</si>
  <si>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</si>
  <si>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</si>
  <si>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</si>
  <si>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</si>
  <si>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</si>
  <si>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</si>
  <si>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</si>
  <si>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</si>
  <si>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</si>
  <si>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</si>
  <si>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</si>
  <si>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</si>
  <si>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</si>
  <si>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</si>
  <si>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</si>
  <si>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</si>
  <si>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</si>
  <si>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</si>
  <si>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</si>
  <si>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</si>
  <si>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</si>
  <si>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</si>
  <si>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</si>
  <si>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</si>
  <si>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</si>
  <si>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</si>
  <si>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</si>
  <si>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</si>
  <si>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</si>
  <si>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</si>
  <si>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</si>
  <si>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</si>
  <si>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</si>
  <si>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</si>
  <si>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</si>
  <si>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</si>
  <si>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</si>
  <si>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</si>
  <si>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</si>
  <si>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</si>
  <si>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</si>
  <si>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</si>
  <si>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</si>
  <si>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</si>
  <si>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</si>
  <si>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</si>
  <si>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</si>
  <si>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</si>
  <si>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</si>
  <si>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</si>
  <si>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</si>
  <si>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</si>
  <si>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</si>
  <si>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</si>
  <si>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</si>
  <si>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</si>
  <si>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</si>
  <si>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</si>
  <si>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</si>
  <si>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</si>
  <si>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</si>
  <si>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</si>
  <si>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</si>
  <si>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</si>
  <si>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</si>
  <si>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</si>
  <si>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</si>
  <si>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</si>
  <si>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</si>
  <si>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</si>
  <si>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</si>
  <si>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</si>
  <si>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</si>
  <si>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</si>
  <si>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</si>
  <si>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</si>
  <si>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</si>
  <si>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</si>
  <si>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</si>
  <si>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</si>
  <si>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</si>
  <si>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</si>
  <si>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</si>
  <si>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</si>
  <si>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</si>
  <si>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</si>
  <si>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</si>
  <si>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</si>
  <si>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</si>
  <si>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</si>
  <si>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</si>
  <si>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</si>
  <si>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</si>
  <si>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</si>
  <si>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</si>
  <si>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</si>
  <si>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</si>
  <si>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</si>
  <si>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</si>
  <si>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</si>
  <si>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</si>
  <si>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</si>
  <si>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</si>
  <si>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</si>
  <si>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</si>
  <si>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</si>
  <si>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</si>
  <si>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</si>
  <si>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</si>
  <si>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</si>
  <si>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</si>
  <si>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</si>
  <si>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</si>
  <si>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</si>
  <si>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</si>
  <si>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</si>
  <si>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</si>
  <si>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</si>
  <si>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</si>
  <si>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</si>
  <si>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</si>
  <si>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</si>
  <si>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</si>
  <si>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</si>
  <si>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</si>
  <si>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</si>
  <si>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</si>
  <si>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</si>
  <si>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</si>
  <si>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</si>
  <si>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</si>
  <si>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</si>
  <si>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</si>
  <si>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</si>
  <si>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</si>
  <si>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</si>
  <si>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</si>
  <si>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</si>
  <si>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</si>
  <si>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</si>
  <si>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</si>
  <si>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</si>
  <si>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</si>
  <si>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</si>
  <si>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</si>
  <si>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</si>
  <si>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</si>
  <si>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</si>
  <si>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</si>
  <si>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</si>
  <si>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</si>
  <si>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</si>
  <si>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</si>
  <si>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</si>
  <si>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</si>
  <si>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</si>
  <si>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</si>
  <si>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</si>
  <si>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</si>
  <si>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</si>
  <si>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</si>
  <si>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</si>
  <si>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</si>
  <si>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</si>
  <si>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</si>
  <si>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</si>
  <si>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</si>
  <si>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</si>
  <si>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</si>
  <si>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</si>
  <si>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</si>
  <si>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</si>
  <si>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</si>
  <si>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</si>
  <si>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</si>
  <si>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</si>
  <si>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</si>
  <si>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</si>
  <si>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</si>
  <si>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</si>
  <si>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</si>
  <si>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</si>
  <si>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</si>
  <si>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</si>
  <si>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</si>
  <si>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</si>
  <si>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</si>
  <si>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</si>
  <si>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</si>
  <si>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</si>
  <si>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</si>
  <si>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</si>
  <si>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</si>
  <si>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</si>
  <si>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</si>
  <si>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</si>
  <si>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</si>
  <si>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</si>
  <si>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</si>
  <si>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</si>
  <si>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</si>
  <si>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</si>
  <si>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</si>
  <si>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</si>
  <si>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</si>
  <si>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</si>
  <si>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</si>
  <si>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</si>
  <si>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</si>
  <si>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</si>
  <si>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</si>
  <si>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</si>
  <si>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</si>
  <si>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</si>
  <si>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</si>
  <si>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</si>
  <si>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</si>
  <si>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</si>
  <si>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</si>
  <si>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</si>
  <si>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</si>
  <si>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</si>
  <si>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</si>
  <si>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</si>
  <si>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</si>
  <si>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</si>
  <si>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</si>
  <si>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</si>
  <si>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</si>
  <si>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</si>
  <si>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</si>
  <si>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</si>
  <si>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</si>
  <si>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</si>
  <si>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</si>
  <si>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</si>
  <si>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</si>
  <si>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</si>
  <si>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</si>
  <si>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</si>
  <si>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</si>
  <si>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</si>
  <si>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</si>
  <si>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</si>
  <si>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</si>
  <si>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</si>
  <si>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</si>
  <si>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</si>
  <si>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</si>
  <si>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</si>
  <si>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</si>
  <si>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</si>
  <si>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</si>
  <si>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</si>
  <si>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</si>
  <si>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</si>
  <si>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</si>
  <si>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</si>
  <si>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</si>
  <si>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</si>
  <si>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</si>
  <si>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</si>
  <si>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</si>
  <si>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</si>
  <si>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</si>
  <si>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</si>
  <si>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</si>
  <si>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</si>
  <si>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</si>
  <si>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</si>
  <si>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</si>
  <si>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</si>
  <si>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</si>
  <si>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</si>
  <si>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</si>
  <si>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</si>
  <si>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</si>
  <si>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</si>
  <si>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</si>
  <si>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</si>
  <si>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</si>
  <si>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</si>
  <si>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</si>
  <si>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</si>
  <si>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</si>
  <si>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</si>
  <si>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</si>
  <si>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</si>
  <si>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</si>
  <si>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</si>
  <si>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</si>
  <si>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</si>
  <si>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</si>
  <si>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</si>
  <si>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</si>
  <si>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</si>
  <si>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</si>
  <si>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</si>
  <si>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</si>
  <si>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</si>
  <si>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</si>
  <si>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</si>
  <si>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</si>
  <si>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</si>
  <si>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</si>
  <si>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</si>
  <si>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</si>
  <si>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</si>
  <si>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</si>
  <si>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</si>
  <si>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</si>
  <si>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</si>
  <si>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</si>
  <si>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</si>
  <si>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</si>
  <si>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</si>
  <si>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</si>
  <si>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</si>
  <si>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</si>
  <si>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</si>
  <si>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</si>
  <si>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</si>
  <si>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</si>
  <si>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</si>
  <si>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</si>
  <si>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</si>
  <si>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</si>
  <si>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</si>
  <si>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</si>
  <si>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</si>
  <si>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</si>
  <si>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</si>
  <si>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</si>
  <si>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</si>
  <si>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</si>
  <si>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</si>
  <si>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</si>
  <si>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</si>
  <si>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</si>
  <si>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</si>
  <si>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</si>
  <si>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</si>
  <si>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</si>
  <si>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</si>
  <si>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</si>
  <si>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</si>
  <si>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</si>
  <si>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</si>
  <si>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</si>
  <si>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</si>
  <si>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</si>
  <si>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</si>
  <si>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</si>
  <si>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</si>
  <si>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</si>
  <si>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</si>
  <si>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</si>
  <si>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</si>
  <si>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</si>
  <si>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</si>
  <si>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</si>
  <si>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</si>
  <si>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</si>
  <si>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</si>
  <si>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</si>
  <si>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</si>
  <si>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</si>
  <si>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</si>
  <si>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</si>
  <si>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</si>
  <si>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</si>
  <si>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</si>
  <si>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</si>
  <si>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</si>
  <si>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</si>
  <si>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</si>
  <si>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</si>
  <si>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</si>
  <si>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</si>
  <si>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</si>
  <si>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</si>
  <si>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</si>
  <si>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</si>
  <si>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</si>
  <si>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</si>
  <si>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</si>
  <si>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</si>
  <si>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</si>
  <si>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</si>
  <si>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</si>
  <si>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</si>
  <si>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</si>
  <si>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</si>
  <si>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</si>
  <si>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</si>
  <si>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</si>
  <si>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</si>
  <si>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</si>
  <si>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</si>
  <si>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</si>
  <si>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</si>
  <si>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</si>
  <si>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</si>
  <si>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</si>
  <si>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</si>
  <si>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</si>
  <si>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</si>
  <si>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</si>
  <si>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</si>
  <si>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</si>
  <si>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</si>
  <si>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</si>
  <si>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</si>
  <si>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</si>
  <si>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</si>
  <si>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</si>
  <si>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</si>
  <si>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</si>
  <si>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</si>
  <si>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</si>
  <si>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</si>
  <si>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</si>
  <si>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</si>
  <si>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</si>
  <si>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</si>
  <si>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</si>
  <si>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</si>
  <si>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</si>
  <si>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</si>
  <si>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</si>
  <si>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</si>
  <si>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</si>
  <si>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</si>
  <si>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</si>
  <si>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</si>
  <si>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</si>
  <si>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</si>
  <si>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</si>
  <si>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</si>
  <si>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</si>
  <si>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</si>
  <si>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</si>
  <si>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</si>
  <si>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</si>
  <si>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</si>
  <si>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</si>
  <si>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</si>
  <si>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</si>
  <si>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</si>
  <si>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</si>
  <si>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</si>
  <si>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</si>
  <si>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</si>
  <si>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</si>
  <si>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</si>
  <si>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</si>
  <si>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</si>
  <si>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</si>
  <si>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</si>
  <si>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</si>
  <si>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</si>
  <si>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</si>
  <si>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</si>
  <si>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</si>
  <si>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</si>
  <si>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</si>
  <si>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</si>
  <si>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</si>
  <si>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</si>
  <si>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</si>
  <si>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</si>
  <si>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</si>
  <si>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</si>
  <si>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</si>
  <si>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</si>
  <si>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</si>
  <si>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</si>
  <si>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</si>
  <si>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</si>
  <si>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</si>
  <si>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</si>
  <si>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</si>
  <si>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</si>
  <si>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</si>
  <si>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</si>
  <si>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</si>
  <si>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</si>
  <si>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</si>
  <si>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</si>
  <si>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</si>
  <si>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</si>
  <si>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</si>
  <si>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</si>
  <si>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</si>
  <si>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</si>
  <si>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</si>
  <si>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</si>
  <si>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</si>
  <si>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</si>
  <si>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</si>
  <si>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</si>
  <si>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</si>
  <si>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</si>
  <si>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</si>
  <si>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</si>
  <si>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</si>
  <si>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</si>
  <si>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</si>
  <si>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</si>
  <si>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</si>
  <si>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</si>
  <si>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</si>
  <si>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</si>
  <si>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</si>
  <si>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</si>
  <si>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</si>
  <si>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</si>
  <si>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</si>
  <si>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</si>
  <si>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</si>
  <si>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</si>
  <si>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</si>
  <si>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</si>
  <si>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</si>
  <si>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</si>
  <si>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</si>
  <si>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</si>
  <si>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</si>
  <si>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</si>
  <si>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</si>
  <si>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</si>
  <si>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</si>
  <si>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</si>
  <si>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</si>
  <si>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</si>
  <si>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</si>
  <si>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</si>
  <si>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</si>
  <si>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</si>
  <si>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</si>
  <si>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</si>
  <si>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</si>
  <si>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</si>
  <si>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</si>
  <si>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</si>
  <si>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</si>
  <si>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</si>
  <si>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</si>
  <si>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</si>
  <si>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</si>
  <si>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</si>
  <si>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</si>
  <si>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</si>
  <si>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</si>
  <si>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</si>
  <si>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</si>
  <si>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</si>
  <si>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</si>
  <si>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</si>
  <si>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</si>
  <si>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</si>
  <si>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</si>
  <si>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</si>
  <si>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</si>
  <si>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</si>
  <si>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</si>
  <si>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</si>
  <si>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</si>
  <si>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</si>
  <si>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</si>
  <si>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</si>
  <si>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</si>
  <si>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</si>
  <si>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</si>
  <si>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</si>
  <si>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</si>
  <si>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</si>
  <si>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</si>
  <si>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</si>
  <si>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</si>
  <si>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</si>
  <si>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</si>
  <si>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</si>
  <si>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</si>
  <si>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</si>
  <si>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</si>
  <si>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</si>
  <si>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</si>
  <si>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</si>
  <si>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</si>
  <si>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</si>
  <si>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</si>
  <si>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</si>
  <si>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</si>
  <si>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</si>
  <si>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</si>
  <si>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</si>
  <si>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</si>
  <si>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</si>
  <si>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</si>
  <si>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</si>
  <si>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</si>
  <si>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</si>
  <si>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</si>
  <si>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</si>
  <si>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</si>
  <si>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</si>
  <si>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</si>
  <si>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</si>
  <si>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</si>
  <si>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</si>
  <si>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</si>
  <si>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</si>
  <si>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</si>
  <si>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</si>
  <si>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</si>
  <si>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</si>
  <si>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</si>
  <si>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</si>
  <si>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</si>
  <si>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</si>
  <si>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</si>
  <si>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</si>
  <si>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</si>
  <si>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</si>
  <si>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</si>
  <si>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</si>
  <si>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</si>
  <si>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</si>
  <si>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</si>
  <si>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</si>
  <si>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</si>
  <si>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</si>
  <si>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</si>
  <si>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</si>
  <si>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</si>
  <si>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</si>
  <si>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</si>
  <si>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</si>
  <si>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</si>
  <si>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</si>
  <si>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</si>
  <si>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</si>
  <si>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</si>
  <si>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</si>
  <si>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</si>
  <si>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</si>
  <si>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</si>
  <si>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</si>
  <si>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</si>
  <si>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</si>
  <si>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</si>
  <si>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</si>
  <si>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</si>
  <si>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</si>
  <si>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</si>
  <si>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</si>
  <si>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</si>
  <si>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</si>
  <si>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</si>
  <si>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</si>
  <si>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</si>
  <si>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</si>
  <si>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</si>
  <si>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</si>
  <si>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</si>
  <si>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</si>
  <si>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</si>
  <si>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</si>
  <si>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</si>
  <si>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</si>
  <si>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</si>
  <si>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</si>
  <si>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</si>
  <si>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</si>
  <si>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</si>
  <si>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</si>
  <si>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</si>
  <si>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</si>
  <si>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</si>
  <si>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</si>
  <si>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</si>
  <si>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</si>
  <si>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</si>
  <si>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</si>
  <si>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</si>
  <si>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</si>
  <si>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</si>
  <si>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</si>
  <si>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</si>
  <si>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</si>
  <si>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</si>
  <si>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</si>
  <si>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</si>
  <si>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</si>
  <si>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</si>
  <si>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</si>
  <si>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</si>
  <si>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</si>
  <si>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</si>
  <si>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</si>
  <si>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</si>
  <si>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</si>
  <si>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</si>
  <si>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</si>
  <si>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</si>
  <si>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</si>
  <si>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</si>
  <si>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</si>
  <si>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</si>
  <si>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</si>
  <si>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</si>
  <si>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</si>
  <si>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</si>
  <si>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</si>
  <si>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</si>
  <si>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</si>
  <si>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</si>
  <si>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</si>
  <si>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</si>
  <si>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</si>
  <si>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</si>
  <si>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</si>
  <si>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</si>
  <si>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</si>
  <si>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</si>
  <si>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</si>
  <si>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</si>
  <si>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</si>
  <si>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</si>
  <si>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</si>
  <si>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</si>
  <si>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</si>
  <si>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</si>
  <si>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</si>
  <si>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</si>
  <si>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</si>
  <si>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</si>
  <si>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</si>
  <si>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</si>
  <si>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</si>
  <si>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</si>
  <si>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</si>
  <si>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</si>
  <si>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</si>
  <si>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</si>
  <si>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</si>
  <si>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</si>
  <si>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</si>
  <si>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</si>
  <si>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</si>
  <si>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</si>
  <si>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</si>
  <si>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</si>
  <si>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</si>
  <si>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</si>
  <si>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</si>
  <si>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</si>
  <si>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</si>
  <si>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</si>
  <si>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</si>
  <si>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</si>
  <si>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</si>
  <si>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</si>
  <si>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</si>
  <si>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</si>
  <si>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</si>
  <si>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</si>
  <si>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</si>
  <si>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</si>
  <si>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</si>
  <si>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</si>
  <si>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</si>
  <si>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</si>
  <si>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</si>
  <si>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</si>
  <si>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</si>
  <si>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</si>
  <si>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</si>
  <si>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</si>
  <si>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</si>
  <si>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</si>
  <si>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</si>
  <si>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</si>
  <si>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</si>
  <si>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</si>
  <si>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</si>
  <si>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</si>
  <si>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</si>
  <si>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</si>
  <si>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</si>
  <si>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</si>
  <si>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</si>
  <si>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</si>
  <si>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</si>
  <si>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</si>
  <si>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</si>
  <si>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</si>
  <si>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</si>
  <si>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</si>
  <si>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</si>
  <si>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</si>
  <si>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</si>
  <si>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</si>
  <si>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</si>
  <si>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</si>
  <si>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</si>
  <si>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</si>
  <si>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</si>
  <si>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</si>
  <si>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</si>
  <si>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</si>
  <si>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</si>
  <si>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</si>
  <si>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</si>
  <si>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</si>
  <si>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</si>
  <si>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</si>
  <si>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</si>
  <si>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</si>
  <si>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</si>
  <si>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</si>
  <si>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</si>
  <si>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</si>
  <si>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</si>
  <si>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</si>
  <si>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</si>
  <si>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</si>
  <si>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</si>
  <si>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</si>
  <si>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</si>
  <si>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</si>
  <si>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</si>
  <si>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</si>
  <si>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</si>
  <si>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</si>
  <si>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</si>
  <si>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</si>
  <si>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</si>
  <si>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</si>
  <si>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</si>
  <si>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</si>
  <si>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</si>
  <si>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</si>
  <si>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</si>
  <si>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</si>
  <si>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</si>
  <si>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</si>
  <si>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</si>
  <si>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</si>
  <si>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</si>
  <si>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</si>
  <si>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</si>
  <si>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</si>
  <si>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</si>
  <si>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</si>
  <si>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</si>
  <si>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</si>
  <si>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</si>
  <si>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</si>
  <si>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</si>
  <si>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</si>
  <si>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</si>
  <si>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</si>
  <si>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</si>
  <si>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</si>
  <si>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</si>
  <si>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</si>
  <si>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</si>
  <si>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</si>
  <si>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</si>
  <si>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</si>
  <si>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</si>
  <si>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</si>
  <si>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</si>
  <si>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</si>
  <si>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</si>
  <si>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</si>
  <si>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</si>
  <si>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</si>
  <si>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</si>
  <si>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</si>
  <si>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</si>
  <si>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</si>
  <si>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</si>
  <si>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</si>
  <si>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</si>
  <si>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</si>
  <si>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</si>
  <si>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</si>
  <si>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</si>
  <si>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</si>
  <si>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</si>
  <si>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</si>
  <si>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</si>
  <si>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</si>
  <si>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</si>
  <si>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</si>
  <si>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</si>
  <si>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</si>
  <si>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</si>
  <si>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</si>
  <si>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</si>
  <si>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</si>
  <si>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</si>
  <si>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</si>
  <si>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</si>
  <si>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</si>
  <si>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</si>
  <si>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</si>
  <si>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</si>
  <si>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</si>
  <si>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</si>
  <si>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</si>
  <si>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</si>
  <si>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</si>
  <si>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</si>
  <si>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</si>
  <si>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</si>
  <si>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</si>
  <si>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</si>
  <si>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</si>
  <si>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</si>
  <si>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</si>
  <si>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</si>
  <si>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</si>
  <si>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</si>
  <si>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</si>
  <si>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</si>
  <si>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</si>
  <si>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</si>
  <si>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</si>
  <si>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</si>
  <si>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</si>
  <si>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</si>
  <si>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</si>
  <si>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</si>
  <si>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</si>
  <si>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</si>
  <si>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</si>
  <si>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</si>
  <si>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</si>
  <si>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</si>
  <si>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</si>
  <si>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</si>
  <si>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</si>
  <si>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</si>
  <si>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</si>
  <si>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</si>
  <si>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</si>
  <si>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</si>
  <si>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</si>
  <si>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</si>
  <si>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</si>
  <si>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</si>
  <si>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</si>
  <si>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</si>
  <si>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</si>
  <si>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</si>
  <si>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</si>
  <si>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</si>
  <si>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</si>
  <si>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</si>
  <si>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</si>
  <si>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</si>
  <si>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</si>
  <si>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</si>
  <si>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</si>
  <si>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</si>
  <si>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</si>
  <si>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</si>
  <si>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</si>
  <si>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</si>
  <si>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</si>
  <si>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</si>
  <si>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</si>
  <si>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</si>
  <si>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</si>
  <si>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</si>
  <si>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</si>
  <si>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</si>
  <si>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</si>
  <si>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</si>
  <si>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</si>
  <si>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</si>
  <si>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</si>
  <si>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</si>
  <si>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</si>
  <si>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</si>
  <si>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</si>
  <si>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</si>
  <si>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</si>
  <si>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</si>
  <si>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</si>
  <si>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</si>
  <si>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</si>
  <si>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</si>
  <si>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</si>
  <si>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</si>
  <si>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</si>
  <si>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</si>
  <si>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</si>
  <si>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</si>
  <si>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</si>
  <si>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</si>
  <si>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</si>
  <si>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</si>
  <si>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</si>
  <si>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</si>
  <si>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</si>
  <si>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</si>
  <si>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</si>
  <si>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</si>
  <si>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</si>
  <si>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</si>
  <si>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</si>
  <si>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</si>
  <si>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</si>
  <si>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</si>
  <si>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</si>
  <si>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</si>
  <si>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</si>
  <si>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</si>
  <si>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</si>
  <si>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</si>
  <si>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</si>
  <si>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</si>
  <si>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</si>
  <si>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</si>
  <si>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</si>
  <si>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</si>
  <si>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</si>
  <si>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</si>
  <si>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</si>
  <si>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</si>
  <si>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</si>
  <si>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</si>
  <si>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</si>
  <si>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</si>
  <si>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</si>
  <si>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</si>
  <si>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</si>
  <si>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</si>
  <si>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</si>
  <si>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</si>
  <si>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</si>
  <si>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</si>
  <si>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</si>
  <si>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</si>
  <si>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</si>
  <si>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</si>
  <si>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</si>
  <si>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</si>
  <si>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</si>
  <si>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</si>
  <si>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</si>
  <si>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</si>
  <si>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</si>
  <si>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</si>
  <si>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</si>
  <si>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</si>
  <si>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</si>
  <si>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</si>
  <si>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</si>
  <si>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</si>
  <si>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</si>
  <si>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</si>
  <si>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</si>
  <si>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</si>
  <si>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</si>
  <si>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</si>
  <si>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</si>
  <si>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</si>
  <si>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</si>
  <si>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</si>
  <si>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</si>
  <si>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</si>
  <si>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</si>
  <si>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</si>
  <si>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</si>
  <si>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</si>
  <si>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</si>
  <si>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</si>
  <si>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</si>
  <si>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</si>
  <si>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</si>
  <si>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</si>
  <si>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</si>
  <si>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</si>
  <si>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</si>
  <si>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</si>
  <si>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</si>
  <si>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</si>
  <si>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</si>
  <si>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</si>
  <si>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</si>
  <si>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</si>
  <si>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</si>
  <si>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</si>
  <si>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</si>
  <si>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</si>
  <si>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</si>
  <si>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</si>
  <si>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</si>
  <si>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</si>
  <si>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</si>
  <si>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</si>
  <si>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</si>
  <si>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</si>
  <si>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</si>
  <si>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</si>
  <si>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</si>
  <si>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</si>
  <si>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</si>
  <si>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</si>
  <si>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</si>
  <si>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</si>
  <si>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</si>
  <si>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</si>
  <si>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</si>
  <si>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</si>
  <si>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</si>
  <si>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</si>
  <si>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</si>
  <si>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</si>
  <si>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</si>
  <si>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</si>
  <si>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</si>
  <si>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</si>
  <si>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</si>
  <si>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</si>
  <si>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</si>
  <si>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</si>
  <si>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</si>
  <si>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</si>
  <si>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</si>
  <si>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</si>
  <si>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</si>
  <si>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</si>
  <si>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</si>
  <si>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</si>
  <si>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</si>
  <si>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</si>
  <si>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</si>
  <si>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</si>
  <si>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</si>
  <si>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</si>
  <si>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</si>
  <si>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</si>
  <si>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</si>
  <si>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</si>
  <si>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</si>
  <si>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</si>
  <si>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</si>
  <si>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</si>
  <si>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</si>
  <si>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</si>
  <si>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</si>
  <si>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</si>
  <si>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</si>
  <si>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</si>
  <si>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</si>
  <si>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</si>
  <si>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</si>
  <si>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</si>
  <si>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</si>
  <si>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</si>
  <si>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</si>
  <si>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</si>
  <si>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</si>
  <si>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</si>
  <si>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</si>
  <si>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</si>
  <si>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</si>
  <si>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</si>
  <si>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</si>
  <si>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</si>
  <si>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</si>
  <si>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</si>
  <si>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</si>
  <si>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</si>
  <si>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</si>
  <si>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</si>
  <si>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</si>
  <si>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</si>
  <si>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</si>
  <si>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</si>
  <si>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</si>
  <si>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</si>
  <si>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</si>
  <si>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</si>
  <si>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</si>
  <si>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</si>
  <si>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</si>
  <si>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</si>
  <si>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</si>
  <si>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</si>
  <si>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</si>
  <si>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</si>
  <si>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</si>
  <si>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</si>
  <si>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</si>
  <si>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</si>
  <si>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</si>
  <si>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</si>
  <si>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</si>
  <si>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</si>
  <si>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</si>
  <si>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</si>
  <si>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</si>
  <si>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</si>
  <si>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</si>
  <si>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</si>
  <si>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</si>
  <si>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</si>
  <si>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</si>
  <si>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</si>
  <si>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</si>
  <si>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</si>
  <si>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</si>
  <si>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</si>
  <si>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</si>
  <si>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</si>
  <si>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</si>
  <si>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</si>
  <si>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</si>
  <si>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</si>
  <si>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</si>
  <si>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</si>
  <si>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</si>
  <si>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</si>
  <si>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</si>
  <si>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</si>
  <si>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</si>
  <si>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</si>
  <si>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</si>
  <si>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</si>
  <si>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</si>
  <si>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</si>
  <si>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</si>
  <si>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</si>
  <si>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</si>
  <si>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</si>
  <si>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</si>
  <si>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</si>
  <si>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</si>
  <si>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</si>
  <si>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</si>
  <si>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</si>
  <si>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</si>
  <si>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</si>
  <si>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</si>
  <si>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</si>
  <si>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</si>
  <si>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</si>
  <si>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</si>
  <si>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</si>
  <si>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</si>
  <si>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</si>
  <si>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</si>
  <si>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</si>
  <si>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</si>
  <si>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</si>
  <si>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</si>
  <si>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</si>
  <si>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</si>
  <si>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</si>
  <si>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</si>
  <si>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</si>
  <si>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</si>
  <si>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</si>
  <si>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</si>
  <si>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</si>
  <si>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</si>
  <si>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</si>
  <si>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</si>
  <si>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</si>
  <si>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</si>
  <si>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</si>
  <si>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</si>
  <si>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</si>
  <si>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</si>
  <si>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</si>
  <si>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</si>
  <si>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</si>
  <si>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</si>
  <si>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</si>
  <si>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</si>
  <si>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</si>
  <si>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</si>
  <si>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</si>
  <si>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</si>
  <si>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</si>
  <si>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</si>
  <si>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</si>
  <si>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</si>
  <si>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</si>
  <si>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</si>
  <si>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</si>
  <si>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</si>
  <si>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</si>
  <si>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</si>
  <si>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</si>
  <si>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</si>
  <si>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</si>
  <si>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</si>
  <si>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</si>
  <si>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</si>
  <si>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</si>
  <si>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</si>
  <si>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</si>
  <si>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</si>
  <si>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</si>
  <si>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</si>
  <si>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</si>
  <si>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</si>
  <si>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</si>
  <si>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</si>
  <si>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</si>
  <si>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</si>
  <si>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</si>
  <si>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</si>
  <si>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</si>
  <si>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</si>
  <si>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</si>
  <si>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</si>
  <si>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</si>
  <si>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</si>
  <si>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</si>
  <si>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</si>
  <si>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</si>
  <si>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</si>
  <si>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</si>
  <si>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</si>
  <si>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</si>
  <si>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</si>
  <si>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</si>
  <si>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</si>
  <si>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</si>
  <si>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</si>
  <si>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</si>
  <si>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</si>
  <si>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</si>
  <si>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</si>
  <si>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</si>
  <si>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</si>
  <si>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</si>
  <si>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</si>
  <si>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</si>
  <si>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</si>
  <si>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</si>
  <si>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</si>
  <si>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</si>
  <si>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</si>
  <si>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</si>
  <si>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</si>
  <si>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</si>
  <si>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</si>
  <si>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</si>
  <si>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</si>
  <si>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</si>
  <si>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</si>
  <si>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</si>
  <si>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</si>
  <si>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</si>
  <si>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</si>
  <si>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</si>
  <si>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</si>
  <si>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</si>
  <si>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</si>
  <si>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</si>
  <si>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</si>
  <si>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</si>
  <si>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</si>
  <si>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</si>
  <si>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</si>
  <si>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</si>
  <si>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</si>
  <si>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</si>
  <si>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</si>
  <si>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</si>
  <si>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</si>
  <si>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</si>
  <si>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</si>
  <si>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</si>
  <si>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</si>
  <si>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</si>
  <si>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</si>
  <si>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</si>
  <si>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</si>
  <si>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</si>
  <si>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</si>
  <si>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</si>
  <si>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</si>
  <si>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</si>
  <si>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</si>
  <si>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</si>
  <si>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</si>
  <si>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</si>
  <si>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</si>
  <si>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</si>
  <si>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</si>
  <si>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</si>
  <si>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</si>
  <si>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</si>
  <si>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</si>
  <si>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</si>
  <si>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</si>
  <si>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</si>
  <si>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</si>
  <si>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</si>
  <si>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</si>
  <si>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</si>
  <si>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</si>
  <si>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</si>
  <si>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</si>
  <si>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</si>
  <si>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</si>
  <si>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</si>
  <si>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</si>
  <si>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</si>
  <si>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</si>
  <si>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</si>
  <si>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</si>
  <si>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</si>
  <si>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</si>
  <si>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</si>
  <si>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</si>
  <si>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</si>
  <si>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</si>
  <si>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</si>
  <si>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</si>
  <si>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</si>
  <si>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</si>
  <si>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</si>
  <si>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</si>
  <si>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</si>
  <si>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</si>
  <si>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</si>
  <si>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</si>
  <si>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</si>
  <si>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</si>
  <si>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</si>
  <si>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</si>
  <si>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</si>
  <si>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</si>
  <si>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</si>
  <si>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</si>
  <si>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</si>
  <si>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</si>
  <si>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</si>
  <si>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</si>
  <si>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</si>
  <si>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</si>
  <si>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</si>
  <si>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</si>
  <si>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</si>
  <si>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</si>
  <si>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</si>
  <si>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</si>
  <si>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</si>
  <si>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</si>
  <si>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</si>
  <si>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</si>
  <si>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</si>
  <si>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</si>
  <si>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</si>
  <si>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</si>
  <si>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</si>
  <si>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</si>
  <si>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</si>
  <si>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</si>
  <si>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</si>
  <si>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</si>
  <si>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</si>
  <si>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</si>
  <si>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</si>
  <si>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</si>
  <si>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</si>
  <si>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</si>
  <si>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</si>
  <si>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</si>
  <si>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</si>
  <si>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</si>
  <si>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</si>
  <si>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</si>
  <si>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</si>
  <si>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</si>
  <si>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</si>
  <si>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</si>
  <si>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</si>
  <si>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</si>
  <si>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</si>
  <si>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</si>
  <si>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</si>
  <si>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</si>
  <si>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</si>
  <si>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</si>
  <si>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</si>
  <si>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</si>
  <si>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</si>
  <si>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</si>
  <si>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</si>
  <si>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</si>
  <si>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</si>
  <si>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</si>
  <si>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</si>
  <si>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</si>
  <si>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</si>
  <si>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</si>
  <si>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</si>
  <si>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</si>
  <si>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</si>
  <si>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</si>
  <si>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</si>
  <si>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</si>
  <si>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</si>
  <si>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</si>
  <si>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</si>
  <si>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</si>
  <si>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</si>
  <si>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</si>
  <si>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</si>
  <si>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</si>
  <si>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</si>
  <si>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</si>
  <si>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</si>
  <si>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</si>
  <si>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</si>
  <si>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</si>
  <si>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</si>
  <si>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</si>
  <si>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</si>
  <si>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</si>
  <si>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</si>
  <si>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</si>
  <si>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</si>
  <si>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</si>
  <si>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</si>
  <si>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</si>
  <si>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</si>
  <si>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</si>
  <si>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</si>
  <si>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</si>
  <si>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</si>
  <si>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</si>
  <si>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</si>
  <si>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</si>
  <si>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</si>
  <si>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</si>
  <si>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</si>
  <si>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</si>
  <si>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</si>
  <si>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</si>
  <si>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</si>
  <si>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</si>
  <si>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</si>
  <si>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</si>
  <si>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</si>
  <si>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</si>
  <si>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</si>
  <si>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</si>
  <si>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</si>
  <si>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</si>
  <si>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</si>
  <si>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</si>
  <si>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</si>
  <si>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</si>
  <si>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</si>
  <si>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</si>
  <si>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</si>
  <si>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</si>
  <si>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</si>
  <si>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</si>
  <si>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</si>
  <si>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</si>
  <si>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</si>
  <si>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</si>
  <si>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</si>
  <si>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</si>
  <si>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</si>
  <si>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</si>
  <si>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</si>
  <si>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</si>
  <si>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</si>
  <si>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</si>
  <si>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</si>
  <si>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</si>
  <si>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</si>
  <si>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</si>
  <si>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</si>
  <si>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</si>
  <si>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</si>
  <si>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</si>
  <si>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</si>
  <si>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</si>
  <si>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</si>
  <si>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</si>
  <si>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</si>
  <si>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</si>
  <si>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</si>
  <si>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</si>
  <si>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</si>
  <si>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</si>
  <si>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</si>
  <si>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</si>
  <si>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</si>
  <si>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</si>
  <si>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</si>
  <si>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</si>
  <si>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</si>
  <si>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</si>
  <si>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</si>
  <si>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</si>
  <si>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</si>
  <si>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</si>
  <si>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</si>
  <si>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</si>
  <si>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</si>
  <si>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</si>
  <si>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</si>
  <si>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</si>
  <si>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</si>
  <si>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</si>
  <si>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</si>
  <si>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</si>
  <si>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</si>
  <si>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</si>
  <si>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</si>
  <si>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</si>
  <si>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</si>
  <si>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</si>
  <si>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</si>
  <si>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</si>
  <si>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</si>
  <si>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</si>
  <si>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</si>
  <si>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</si>
  <si>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</si>
  <si>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</si>
  <si>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</si>
  <si>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</si>
  <si>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</si>
  <si>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</si>
  <si>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</si>
  <si>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</si>
  <si>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</si>
  <si>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</si>
  <si>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</si>
  <si>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</si>
  <si>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</si>
  <si>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</si>
  <si>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</si>
  <si>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</si>
  <si>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</si>
  <si>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</si>
  <si>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</si>
  <si>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</si>
  <si>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</si>
  <si>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</si>
  <si>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</si>
  <si>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</si>
  <si>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</si>
  <si>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</si>
  <si>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</si>
  <si>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</si>
  <si>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</si>
  <si>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</si>
  <si>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</si>
  <si>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</si>
  <si>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</si>
  <si>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</si>
  <si>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</si>
  <si>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</si>
  <si>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</si>
  <si>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</si>
  <si>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</si>
  <si>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</si>
  <si>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</si>
  <si>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</si>
  <si>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</si>
  <si>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</si>
  <si>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</si>
  <si>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</si>
  <si>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</si>
  <si>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</si>
  <si>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</si>
  <si>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</si>
  <si>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</si>
  <si>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</si>
  <si>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</si>
  <si>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</si>
  <si>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</si>
  <si>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</si>
  <si>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</si>
  <si>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</si>
  <si>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</si>
  <si>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</si>
  <si>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</si>
  <si>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</si>
  <si>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</si>
  <si>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</si>
  <si>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</si>
  <si>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</si>
  <si>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</si>
  <si>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</si>
  <si>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</si>
  <si>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</si>
  <si>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</si>
  <si>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</si>
  <si>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</si>
  <si>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</si>
  <si>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</si>
  <si>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</si>
  <si>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</si>
  <si>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</si>
  <si>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</si>
  <si>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</si>
  <si>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</si>
  <si>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</si>
  <si>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</si>
  <si>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</si>
  <si>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</si>
  <si>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</si>
  <si>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</si>
  <si>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</si>
  <si>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</si>
  <si>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</si>
  <si>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</si>
  <si>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</si>
  <si>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</si>
  <si>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</si>
  <si>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</si>
  <si>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</si>
  <si>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</si>
  <si>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</si>
  <si>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</si>
  <si>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</si>
  <si>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</si>
  <si>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</si>
  <si>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</si>
  <si>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</si>
  <si>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</si>
  <si>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</si>
  <si>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</si>
  <si>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</si>
  <si>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</si>
  <si>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</si>
  <si>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</si>
  <si>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</si>
  <si>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</si>
  <si>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</si>
  <si>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</si>
  <si>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</si>
  <si>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</si>
  <si>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</si>
  <si>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</si>
  <si>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</si>
  <si>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</si>
  <si>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</si>
  <si>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</si>
  <si>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</si>
  <si>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</si>
  <si>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</si>
  <si>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</si>
  <si>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</si>
  <si>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</si>
  <si>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</si>
  <si>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</si>
  <si>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</si>
  <si>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</si>
  <si>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</si>
  <si>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</si>
  <si>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</si>
  <si>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</si>
  <si>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</si>
  <si>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</si>
  <si>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</si>
  <si>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</si>
  <si>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</si>
  <si>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</si>
  <si>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</si>
  <si>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</si>
  <si>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</si>
  <si>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</si>
  <si>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</si>
  <si>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</si>
  <si>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</si>
  <si>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</si>
  <si>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</si>
  <si>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</si>
  <si>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</si>
  <si>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</si>
  <si>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</si>
  <si>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</si>
  <si>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</si>
  <si>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</si>
  <si>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</si>
  <si>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</si>
  <si>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</si>
  <si>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</si>
  <si>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</si>
  <si>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</si>
  <si>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</si>
  <si>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</si>
  <si>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</si>
  <si>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</si>
  <si>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</si>
  <si>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</si>
  <si>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</si>
  <si>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</si>
  <si>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</si>
  <si>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</si>
  <si>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</si>
  <si>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</si>
  <si>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</si>
  <si>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</si>
  <si>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</si>
  <si>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</si>
  <si>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</si>
  <si>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</si>
  <si>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</si>
  <si>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</si>
  <si>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</si>
  <si>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</si>
  <si>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</si>
  <si>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</si>
  <si>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</si>
  <si>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</si>
  <si>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</si>
  <si>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</si>
  <si>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</si>
  <si>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</si>
  <si>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</si>
  <si>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</si>
  <si>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</si>
  <si>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</si>
  <si>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</si>
  <si>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</si>
  <si>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</si>
  <si>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</si>
  <si>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</si>
  <si>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</si>
  <si>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</si>
  <si>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</si>
  <si>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</si>
  <si>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</si>
  <si>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</si>
  <si>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</si>
  <si>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</si>
  <si>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</si>
  <si>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</si>
  <si>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</si>
  <si>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</si>
  <si>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</si>
  <si>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</si>
  <si>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</si>
  <si>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</si>
  <si>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</si>
  <si>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</si>
  <si>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</si>
  <si>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</si>
  <si>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</si>
  <si>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</si>
  <si>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</si>
  <si>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</si>
  <si>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</si>
  <si>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</si>
  <si>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</si>
  <si>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</si>
  <si>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</si>
  <si>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</si>
  <si>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</si>
  <si>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</si>
  <si>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</si>
  <si>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</si>
  <si>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</si>
  <si>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</si>
  <si>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</si>
  <si>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</si>
  <si>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</si>
  <si>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</si>
  <si>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</si>
  <si>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</si>
  <si>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</si>
  <si>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</si>
  <si>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</si>
  <si>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</si>
  <si>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</si>
  <si>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</si>
  <si>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</si>
  <si>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</si>
  <si>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</si>
  <si>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</si>
  <si>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</si>
  <si>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</si>
  <si>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</si>
  <si>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</si>
  <si>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</si>
  <si>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</si>
  <si>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</si>
  <si>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</si>
  <si>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</si>
  <si>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</si>
  <si>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</si>
  <si>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</si>
  <si>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</si>
  <si>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</si>
  <si>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</si>
  <si>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</si>
  <si>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</si>
  <si>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</si>
  <si>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</si>
  <si>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</si>
  <si>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</si>
  <si>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</si>
  <si>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</si>
  <si>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</si>
  <si>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</si>
  <si>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</si>
  <si>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</si>
  <si>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</si>
  <si>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</si>
  <si>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</si>
  <si>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</si>
  <si>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</si>
  <si>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</si>
  <si>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</si>
  <si>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</si>
  <si>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</si>
  <si>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</si>
  <si>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</si>
  <si>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</si>
  <si>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</si>
  <si>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</si>
  <si>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</si>
  <si>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</si>
  <si>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</si>
  <si>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</si>
  <si>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</si>
  <si>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</si>
  <si>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</si>
  <si>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</si>
  <si>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</si>
  <si>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</si>
  <si>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</si>
  <si>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</si>
  <si>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</si>
  <si>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</si>
  <si>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</si>
  <si>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</si>
  <si>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</si>
  <si>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</si>
  <si>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</si>
  <si>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</si>
  <si>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</si>
  <si>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</si>
  <si>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</si>
  <si>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</si>
  <si>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</si>
  <si>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</si>
  <si>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</si>
  <si>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</si>
  <si>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</si>
  <si>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</si>
  <si>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</si>
  <si>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</si>
  <si>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</si>
  <si>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</si>
  <si>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</si>
  <si>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</si>
  <si>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</si>
  <si>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</si>
  <si>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</si>
  <si>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</si>
  <si>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</si>
  <si>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</si>
  <si>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</si>
  <si>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</si>
  <si>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</si>
  <si>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</si>
  <si>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</si>
  <si>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</si>
  <si>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</si>
  <si>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</si>
  <si>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</si>
  <si>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</si>
  <si>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</si>
  <si>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</si>
  <si>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</si>
  <si>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</si>
  <si>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</si>
  <si>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</si>
  <si>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</si>
  <si>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</si>
  <si>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</si>
  <si>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</si>
  <si>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</si>
  <si>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</si>
  <si>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</si>
  <si>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</si>
  <si>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</si>
  <si>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</si>
  <si>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</si>
  <si>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</si>
  <si>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</si>
  <si>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</si>
  <si>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</si>
  <si>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</si>
  <si>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</si>
  <si>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</si>
  <si>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</si>
  <si>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</si>
  <si>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</si>
  <si>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</si>
  <si>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</si>
  <si>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</si>
  <si>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</si>
  <si>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</si>
  <si>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</si>
  <si>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</si>
  <si>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</si>
  <si>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</si>
  <si>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</si>
  <si>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</si>
  <si>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</si>
  <si>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</si>
  <si>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</si>
  <si>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</si>
  <si>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</si>
  <si>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</si>
  <si>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</si>
  <si>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</si>
  <si>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</si>
  <si>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</si>
  <si>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</si>
  <si>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</si>
  <si>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</si>
  <si>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</si>
  <si>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</si>
  <si>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</si>
  <si>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</si>
  <si>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</si>
  <si>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</si>
  <si>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</si>
  <si>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</si>
  <si>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</si>
  <si>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</si>
  <si>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</si>
  <si>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</si>
  <si>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</si>
  <si>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</si>
  <si>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</si>
  <si>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</si>
  <si>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</si>
  <si>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</si>
  <si>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</si>
  <si>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</si>
  <si>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</si>
  <si>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</si>
  <si>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</si>
  <si>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</si>
  <si>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</si>
  <si>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</si>
  <si>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</si>
  <si>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</si>
  <si>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</si>
  <si>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</si>
  <si>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</si>
  <si>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</si>
  <si>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</si>
  <si>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</si>
  <si>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</si>
  <si>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</si>
  <si>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</si>
  <si>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</si>
  <si>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</si>
  <si>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</si>
  <si>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</si>
  <si>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</si>
  <si>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</si>
  <si>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</si>
  <si>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</si>
  <si>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</si>
  <si>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</si>
  <si>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</si>
  <si>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</si>
  <si>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</si>
  <si>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</si>
  <si>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</si>
  <si>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</si>
  <si>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</si>
  <si>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</si>
  <si>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</si>
  <si>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</si>
  <si>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</si>
  <si>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</si>
  <si>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</si>
  <si>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</si>
  <si>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</si>
  <si>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</si>
  <si>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</si>
  <si>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</si>
  <si>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</si>
  <si>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</si>
  <si>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</si>
  <si>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</si>
  <si>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</si>
  <si>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</si>
  <si>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</si>
  <si>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</si>
  <si>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</si>
  <si>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</si>
  <si>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</si>
  <si>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</si>
  <si>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</si>
  <si>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</si>
  <si>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</si>
  <si>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</si>
  <si>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</si>
  <si>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</si>
  <si>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</si>
  <si>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</si>
  <si>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</si>
  <si>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</si>
  <si>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</si>
  <si>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</si>
  <si>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</si>
  <si>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</si>
  <si>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</si>
  <si>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</si>
  <si>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</si>
  <si>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</si>
  <si>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</si>
  <si>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</si>
  <si>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</si>
  <si>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</si>
  <si>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</si>
  <si>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</si>
  <si>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</si>
  <si>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</si>
  <si>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</si>
  <si>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</si>
  <si>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</si>
  <si>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</si>
  <si>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</si>
  <si>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</si>
  <si>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</si>
  <si>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</si>
  <si>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</si>
  <si>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</si>
  <si>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</si>
  <si>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</si>
  <si>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</si>
  <si>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</si>
  <si>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</si>
  <si>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</si>
  <si>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</si>
  <si>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</si>
  <si>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</si>
  <si>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</si>
  <si>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</si>
  <si>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</si>
  <si>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</si>
  <si>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</si>
  <si>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</si>
  <si>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</si>
  <si>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</si>
  <si>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</si>
  <si>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</si>
  <si>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</si>
  <si>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</si>
  <si>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</si>
  <si>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</si>
  <si>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</si>
  <si>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</si>
  <si>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</si>
  <si>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</si>
  <si>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</si>
  <si>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</si>
  <si>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</si>
  <si>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</si>
  <si>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</si>
  <si>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</si>
  <si>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</si>
  <si>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</si>
  <si>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</si>
  <si>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</si>
  <si>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</si>
  <si>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</si>
  <si>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</si>
  <si>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</si>
  <si>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</si>
  <si>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</si>
  <si>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</si>
  <si>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</si>
  <si>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</si>
  <si>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</si>
  <si>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</si>
  <si>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</si>
  <si>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</si>
  <si>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</si>
  <si>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</si>
  <si>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</si>
  <si>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</si>
  <si>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</si>
  <si>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</si>
  <si>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</si>
  <si>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</si>
  <si>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</si>
  <si>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</si>
  <si>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</si>
  <si>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</si>
  <si>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</si>
  <si>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</si>
  <si>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</si>
  <si>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</si>
  <si>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</si>
  <si>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</si>
  <si>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</si>
  <si>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</si>
  <si>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</si>
  <si>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</si>
  <si>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</si>
  <si>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</si>
  <si>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</si>
  <si>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</si>
  <si>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</si>
  <si>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</si>
  <si>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</si>
  <si>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</si>
  <si>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</si>
  <si>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</si>
  <si>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</si>
  <si>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</si>
  <si>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</si>
  <si>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</si>
  <si>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</si>
  <si>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</si>
  <si>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</si>
  <si>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</si>
  <si>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</si>
  <si>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</si>
  <si>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</si>
  <si>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</si>
  <si>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</si>
  <si>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</si>
  <si>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</si>
  <si>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</si>
  <si>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</si>
  <si>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</si>
  <si>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</si>
  <si>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</si>
  <si>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</si>
  <si>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</si>
  <si>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</si>
  <si>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</si>
  <si>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</si>
  <si>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</si>
  <si>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</si>
  <si>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</si>
  <si>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</si>
  <si>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</si>
  <si>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</si>
  <si>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</si>
  <si>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</si>
  <si>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</si>
  <si>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</si>
  <si>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</si>
  <si>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</si>
  <si>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</si>
  <si>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</si>
  <si>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</si>
  <si>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</si>
  <si>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</si>
  <si>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</si>
  <si>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</si>
  <si>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</si>
  <si>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</si>
  <si>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</si>
  <si>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</si>
  <si>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</si>
  <si>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</si>
  <si>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</si>
  <si>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</si>
  <si>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</si>
  <si>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</si>
  <si>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</si>
  <si>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</si>
  <si>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</si>
  <si>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</si>
  <si>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</si>
  <si>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</si>
  <si>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</si>
  <si>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</si>
  <si>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</si>
  <si>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</si>
  <si>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</si>
  <si>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</si>
  <si>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</si>
  <si>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</si>
  <si>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</si>
  <si>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</si>
  <si>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</si>
  <si>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</si>
  <si>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</si>
  <si>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</si>
  <si>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</si>
  <si>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</si>
  <si>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</si>
  <si>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</si>
  <si>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</si>
  <si>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</si>
  <si>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</si>
  <si>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</si>
  <si>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</si>
  <si>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</si>
  <si>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</si>
  <si>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</si>
  <si>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</si>
  <si>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</si>
  <si>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</si>
  <si>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</si>
  <si>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</si>
  <si>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</si>
  <si>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</si>
  <si>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</si>
  <si>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</si>
  <si>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</si>
  <si>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</si>
  <si>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</si>
  <si>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</si>
  <si>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</si>
  <si>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</si>
  <si>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</si>
  <si>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</si>
  <si>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</si>
  <si>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</si>
  <si>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</si>
  <si>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</si>
  <si>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</si>
  <si>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</si>
  <si>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</si>
  <si>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</si>
  <si>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</si>
  <si>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</si>
  <si>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</si>
  <si>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</si>
  <si>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</si>
  <si>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</si>
  <si>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</si>
  <si>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</si>
  <si>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</si>
  <si>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</si>
  <si>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</si>
  <si>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</si>
  <si>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</si>
  <si>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</si>
  <si>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</si>
  <si>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</si>
  <si>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</si>
  <si>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</si>
  <si>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</si>
  <si>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</si>
  <si>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</si>
  <si>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</si>
  <si>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</si>
  <si>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</si>
  <si>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</si>
  <si>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</si>
  <si>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</si>
  <si>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</si>
  <si>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</si>
  <si>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</si>
  <si>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</si>
  <si>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</si>
  <si>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</si>
  <si>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</si>
  <si>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</si>
  <si>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</si>
  <si>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</si>
  <si>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</si>
  <si>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</si>
  <si>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</si>
  <si>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</si>
  <si>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</si>
  <si>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</si>
  <si>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</si>
  <si>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</si>
  <si>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</si>
  <si>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</si>
  <si>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</si>
  <si>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</si>
  <si>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</si>
  <si>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</si>
  <si>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</si>
  <si>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</si>
  <si>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</si>
  <si>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</si>
  <si>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</si>
  <si>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</si>
  <si>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</si>
  <si>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</si>
  <si>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</si>
  <si>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</si>
  <si>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</si>
  <si>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</si>
  <si>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</si>
  <si>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</si>
  <si>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</si>
  <si>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</si>
  <si>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</si>
  <si>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</si>
  <si>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</si>
  <si>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</si>
  <si>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</si>
  <si>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</si>
  <si>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</si>
  <si>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</si>
  <si>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</si>
  <si>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</si>
  <si>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</si>
  <si>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</si>
  <si>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</si>
  <si>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</si>
  <si>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</si>
  <si>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</si>
  <si>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</si>
  <si>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</si>
  <si>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</si>
  <si>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</si>
  <si>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</si>
  <si>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</si>
  <si>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</si>
  <si>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</si>
  <si>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</si>
  <si>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</si>
  <si>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</si>
  <si>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</si>
  <si>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</si>
  <si>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</si>
  <si>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</si>
  <si>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</si>
  <si>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</si>
  <si>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</si>
  <si>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</si>
  <si>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</si>
  <si>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</si>
  <si>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</si>
  <si>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</si>
  <si>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</si>
  <si>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</si>
  <si>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</si>
  <si>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</si>
  <si>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</si>
  <si>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</si>
  <si>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</si>
  <si>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</si>
  <si>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</si>
  <si>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</si>
  <si>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</si>
  <si>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</si>
  <si>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</si>
  <si>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</si>
  <si>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</si>
  <si>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</si>
  <si>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</si>
  <si>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</si>
  <si>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</si>
  <si>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</si>
  <si>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</si>
  <si>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</si>
  <si>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</si>
  <si>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</si>
  <si>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</si>
  <si>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</si>
  <si>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</si>
  <si>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</si>
  <si>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</si>
  <si>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</si>
  <si>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</si>
  <si>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</si>
  <si>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</si>
  <si>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</si>
  <si>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</si>
  <si>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</si>
  <si>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</si>
  <si>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</si>
  <si>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</si>
  <si>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</si>
  <si>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</si>
  <si>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</si>
  <si>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</si>
  <si>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</si>
  <si>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</si>
  <si>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</si>
  <si>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</si>
  <si>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</si>
  <si>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</si>
  <si>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</si>
  <si>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</si>
  <si>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</si>
  <si>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</si>
  <si>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</si>
  <si>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</si>
  <si>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</si>
  <si>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</si>
  <si>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</si>
  <si>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</si>
  <si>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</si>
  <si>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</si>
  <si>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</si>
  <si>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</si>
  <si>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</si>
  <si>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</si>
  <si>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</si>
  <si>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</si>
  <si>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</si>
  <si>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</si>
  <si>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</si>
  <si>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</si>
  <si>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</si>
  <si>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</si>
  <si>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</si>
  <si>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</si>
  <si>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</si>
  <si>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</si>
  <si>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</si>
  <si>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</si>
  <si>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</si>
  <si>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</si>
  <si>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</si>
  <si>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</si>
  <si>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</si>
  <si>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</si>
  <si>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</si>
  <si>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</si>
  <si>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</si>
  <si>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</si>
  <si>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</si>
  <si>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</si>
  <si>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</si>
  <si>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</si>
  <si>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</si>
  <si>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</si>
  <si>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</si>
  <si>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</si>
  <si>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</si>
  <si>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</si>
  <si>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</si>
  <si>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</si>
  <si>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</si>
  <si>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</si>
  <si>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</si>
  <si>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</si>
  <si>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</si>
  <si>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</si>
  <si>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</si>
  <si>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</si>
  <si>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</si>
  <si>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</si>
  <si>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</si>
  <si>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</si>
  <si>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</si>
  <si>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</si>
  <si>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</si>
  <si>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</si>
  <si>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</si>
  <si>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</si>
  <si>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</si>
  <si>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</si>
  <si>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</si>
  <si>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</si>
  <si>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</si>
  <si>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</si>
  <si>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</si>
  <si>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</si>
  <si>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</si>
  <si>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</si>
  <si>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</si>
  <si>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</si>
  <si>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</si>
  <si>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</si>
  <si>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</si>
  <si>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</si>
  <si>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</si>
  <si>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</si>
  <si>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</si>
  <si>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</si>
  <si>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</si>
  <si>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</si>
  <si>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</si>
  <si>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</si>
  <si>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</si>
  <si>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</si>
  <si>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</si>
  <si>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</si>
  <si>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</si>
  <si>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</si>
  <si>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</si>
  <si>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</si>
  <si>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</si>
  <si>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</si>
  <si>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</si>
  <si>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</si>
  <si>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</si>
  <si>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</si>
  <si>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</si>
  <si>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</si>
  <si>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</si>
  <si>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</si>
  <si>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</si>
  <si>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</si>
  <si>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</si>
  <si>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</si>
  <si>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</si>
  <si>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</si>
  <si>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</si>
  <si>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</si>
  <si>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</si>
  <si>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</si>
  <si>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</si>
  <si>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</si>
  <si>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</si>
  <si>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</si>
  <si>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</si>
  <si>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</si>
  <si>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</si>
  <si>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</si>
  <si>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</si>
  <si>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</si>
  <si>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</si>
  <si>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</si>
  <si>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</si>
  <si>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</si>
  <si>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</si>
  <si>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</si>
  <si>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</si>
  <si>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</si>
  <si>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</si>
  <si>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</si>
  <si>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</si>
  <si>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</si>
  <si>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</si>
  <si>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</si>
  <si>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</si>
  <si>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</si>
  <si>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</si>
  <si>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</si>
  <si>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</si>
  <si>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</si>
  <si>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</si>
  <si>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</si>
  <si>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</si>
  <si>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</si>
  <si>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</si>
  <si>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</si>
  <si>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</si>
  <si>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</si>
  <si>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</si>
  <si>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</si>
  <si>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</si>
  <si>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</si>
  <si>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</si>
  <si>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</si>
  <si>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</si>
  <si>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</si>
  <si>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</si>
  <si>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</si>
  <si>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</si>
  <si>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</si>
  <si>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</si>
  <si>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</si>
  <si>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</si>
  <si>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</si>
  <si>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</si>
  <si>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</si>
  <si>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</si>
  <si>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</si>
  <si>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</si>
  <si>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</si>
  <si>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</si>
  <si>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</si>
  <si>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</si>
  <si>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</si>
  <si>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</si>
  <si>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</si>
  <si>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</si>
  <si>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</si>
  <si>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</si>
  <si>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</si>
  <si>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</si>
  <si>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</si>
  <si>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</si>
  <si>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</si>
  <si>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</si>
  <si>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</si>
  <si>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</si>
  <si>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</si>
  <si>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</si>
  <si>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</si>
  <si>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</si>
  <si>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</si>
  <si>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</si>
  <si>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</si>
  <si>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</si>
  <si>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</si>
  <si>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</si>
  <si>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</si>
  <si>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</si>
  <si>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</si>
  <si>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</si>
  <si>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</si>
  <si>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</si>
  <si>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</si>
  <si>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</si>
  <si>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</si>
  <si>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</si>
  <si>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</si>
  <si>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</si>
  <si>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</si>
  <si>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</si>
  <si>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</si>
  <si>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</si>
  <si>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</si>
  <si>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</si>
  <si>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</si>
  <si>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</si>
  <si>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</si>
  <si>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</si>
  <si>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</si>
  <si>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</si>
  <si>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</si>
  <si>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</si>
  <si>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</si>
  <si>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</si>
  <si>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</si>
  <si>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</si>
  <si>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</si>
  <si>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</si>
  <si>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</si>
  <si>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</si>
  <si>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</si>
  <si>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</si>
  <si>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</si>
  <si>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</si>
  <si>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</si>
  <si>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</si>
  <si>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</si>
  <si>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</si>
  <si>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</si>
  <si>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</si>
  <si>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</si>
  <si>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</si>
  <si>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</si>
  <si>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</si>
  <si>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</si>
  <si>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</si>
  <si>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</si>
  <si>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</si>
  <si>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</si>
  <si>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</si>
  <si>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</si>
  <si>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</si>
  <si>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</si>
  <si>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</si>
  <si>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</si>
  <si>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</si>
  <si>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</si>
  <si>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</si>
  <si>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</si>
  <si>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</si>
  <si>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</si>
  <si>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</si>
  <si>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</si>
  <si>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</si>
  <si>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</si>
  <si>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</si>
  <si>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</si>
  <si>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</si>
  <si>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</si>
  <si>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</si>
  <si>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</si>
  <si>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</si>
  <si>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</si>
  <si>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</si>
  <si>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</si>
  <si>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</si>
  <si>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</si>
  <si>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</si>
  <si>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</si>
  <si>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</si>
  <si>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</si>
  <si>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</si>
  <si>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</si>
  <si>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</si>
  <si>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</si>
  <si>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</si>
  <si>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</si>
  <si>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</si>
  <si>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</si>
  <si>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</si>
  <si>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</si>
  <si>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</si>
  <si>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</si>
  <si>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</si>
  <si>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</si>
  <si>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</si>
  <si>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</si>
  <si>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</si>
  <si>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</si>
  <si>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</si>
  <si>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</si>
  <si>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</si>
  <si>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</si>
  <si>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</si>
  <si>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</si>
  <si>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</si>
  <si>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</si>
  <si>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</si>
  <si>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</si>
  <si>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</si>
  <si>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</si>
  <si>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</si>
  <si>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</si>
  <si>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</si>
  <si>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</si>
  <si>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</si>
  <si>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</si>
  <si>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</si>
  <si>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</si>
  <si>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</si>
  <si>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</si>
  <si>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</si>
  <si>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</si>
  <si>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</si>
  <si>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</si>
  <si>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</si>
  <si>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</si>
  <si>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</si>
  <si>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</si>
  <si>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</si>
  <si>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</si>
  <si>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</si>
  <si>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</si>
  <si>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</si>
  <si>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</si>
  <si>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</si>
  <si>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</si>
  <si>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</si>
  <si>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</si>
  <si>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</si>
  <si>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</si>
  <si>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</si>
  <si>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</si>
  <si>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</si>
  <si>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</si>
  <si>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</si>
  <si>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</si>
  <si>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</si>
  <si>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</si>
  <si>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</si>
  <si>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</si>
  <si>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</si>
  <si>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</si>
  <si>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</si>
  <si>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</si>
  <si>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</si>
  <si>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</si>
  <si>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</si>
  <si>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</si>
  <si>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</si>
  <si>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</si>
  <si>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</si>
  <si>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</si>
  <si>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</si>
  <si>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</si>
  <si>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</si>
  <si>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</si>
  <si>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</si>
  <si>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</si>
  <si>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</si>
  <si>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</si>
  <si>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</si>
  <si>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</si>
  <si>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</si>
  <si>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</si>
  <si>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</si>
  <si>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</si>
  <si>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</si>
  <si>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</si>
  <si>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</si>
  <si>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</si>
  <si>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</si>
  <si>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</si>
  <si>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</si>
  <si>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</si>
  <si>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</si>
  <si>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</si>
  <si>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</si>
  <si>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</si>
  <si>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</si>
  <si>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</si>
  <si>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</si>
  <si>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</si>
  <si>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</si>
  <si>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</si>
  <si>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</si>
  <si>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</si>
  <si>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</si>
  <si>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</si>
  <si>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</si>
  <si>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</si>
  <si>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</si>
  <si>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</si>
  <si>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</si>
  <si>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</si>
  <si>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</si>
  <si>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</si>
  <si>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</si>
  <si>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</si>
  <si>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</si>
  <si>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</si>
  <si>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</si>
  <si>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</si>
  <si>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</si>
  <si>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</si>
  <si>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</si>
  <si>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</si>
  <si>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</si>
  <si>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</si>
  <si>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</si>
  <si>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</si>
  <si>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</si>
  <si>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</si>
  <si>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</si>
  <si>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</si>
  <si>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</si>
  <si>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</si>
  <si>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</si>
  <si>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</si>
  <si>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</si>
  <si>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</si>
  <si>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</si>
  <si>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</si>
  <si>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</si>
  <si>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</si>
  <si>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</si>
  <si>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</si>
  <si>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</si>
  <si>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</si>
  <si>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</si>
  <si>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</si>
  <si>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</si>
  <si>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</si>
  <si>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</si>
  <si>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</si>
  <si>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</si>
  <si>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</si>
  <si>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</si>
  <si>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</si>
  <si>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</si>
  <si>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</si>
  <si>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</si>
  <si>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</si>
  <si>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</si>
  <si>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</si>
  <si>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</si>
  <si>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</si>
  <si>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</si>
  <si>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</si>
  <si>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</si>
  <si>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</si>
  <si>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</si>
  <si>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</si>
  <si>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</si>
  <si>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</si>
  <si>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</si>
  <si>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</si>
  <si>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</si>
  <si>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</si>
  <si>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</si>
  <si>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</si>
  <si>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</si>
  <si>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</si>
  <si>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</si>
  <si>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</si>
  <si>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</si>
  <si>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</si>
  <si>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</si>
  <si>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</si>
  <si>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</si>
  <si>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</si>
  <si>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</si>
  <si>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</si>
  <si>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</si>
  <si>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</si>
  <si>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</si>
  <si>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</si>
  <si>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</si>
  <si>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</si>
  <si>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</si>
  <si>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</si>
  <si>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</si>
  <si>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</si>
  <si>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</si>
  <si>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</si>
  <si>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</si>
  <si>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</si>
  <si>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</si>
  <si>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</si>
  <si>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</si>
  <si>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</si>
  <si>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</si>
  <si>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</si>
  <si>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</si>
  <si>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</si>
  <si>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</si>
  <si>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</si>
  <si>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</si>
  <si>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</si>
  <si>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</si>
  <si>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</si>
  <si>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</si>
  <si>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</si>
  <si>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</si>
  <si>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</si>
  <si>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</si>
  <si>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</si>
  <si>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</si>
  <si>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</si>
  <si>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</si>
  <si>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</si>
  <si>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</si>
  <si>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</si>
  <si>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</si>
  <si>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</si>
  <si>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</si>
  <si>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</si>
  <si>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</si>
  <si>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</si>
  <si>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</si>
  <si>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</si>
  <si>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</si>
  <si>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</si>
  <si>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</si>
  <si>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</si>
  <si>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</si>
  <si>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</si>
  <si>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</si>
  <si>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</si>
  <si>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</si>
  <si>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</si>
  <si>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</si>
  <si>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</si>
  <si>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</si>
  <si>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</si>
  <si>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</si>
  <si>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</si>
  <si>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</si>
  <si>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</si>
  <si>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</si>
  <si>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</si>
  <si>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</si>
  <si>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</si>
  <si>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</si>
  <si>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</si>
  <si>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</si>
  <si>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</si>
  <si>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</si>
  <si>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</si>
  <si>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</si>
  <si>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</si>
  <si>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</si>
  <si>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</si>
  <si>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</si>
  <si>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</si>
  <si>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</si>
  <si>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</si>
  <si>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</si>
  <si>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</si>
  <si>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</si>
  <si>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</si>
  <si>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</si>
  <si>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</si>
  <si>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</si>
  <si>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</si>
  <si>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</si>
  <si>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</si>
  <si>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</si>
  <si>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</si>
  <si>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</si>
  <si>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</si>
  <si>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</si>
  <si>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</si>
  <si>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</si>
  <si>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</si>
  <si>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</si>
  <si>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</si>
  <si>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</si>
  <si>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</si>
  <si>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</si>
  <si>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</si>
  <si>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</si>
  <si>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</si>
  <si>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</si>
  <si>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</si>
  <si>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</si>
  <si>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</si>
  <si>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</si>
  <si>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</si>
  <si>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</si>
  <si>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</si>
  <si>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</si>
  <si>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</si>
  <si>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</si>
  <si>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</si>
  <si>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</si>
  <si>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</si>
  <si>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</si>
  <si>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</si>
  <si>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</si>
  <si>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</si>
  <si>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</si>
  <si>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</si>
  <si>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</si>
  <si>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</si>
  <si>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</si>
  <si>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</si>
  <si>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</si>
  <si>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</si>
  <si>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</si>
  <si>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</si>
  <si>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</si>
  <si>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</si>
  <si>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</si>
  <si>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</si>
  <si>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</si>
  <si>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</si>
  <si>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</si>
  <si>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</si>
  <si>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</si>
  <si>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</si>
  <si>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</si>
  <si>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</si>
  <si>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</si>
  <si>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</si>
  <si>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</si>
  <si>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</si>
  <si>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</si>
  <si>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</si>
  <si>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</si>
  <si>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</si>
  <si>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</si>
  <si>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</si>
  <si>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</si>
  <si>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</si>
  <si>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</si>
  <si>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</si>
  <si>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</si>
  <si>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</si>
  <si>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</si>
  <si>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</si>
  <si>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</si>
  <si>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</si>
  <si>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</si>
  <si>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</si>
  <si>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</si>
  <si>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</si>
  <si>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</si>
  <si>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</si>
  <si>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</si>
  <si>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</si>
  <si>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</si>
  <si>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</si>
  <si>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</si>
  <si>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</si>
  <si>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</si>
  <si>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</si>
  <si>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</si>
  <si>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</si>
  <si>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</si>
  <si>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</si>
  <si>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</si>
  <si>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</si>
  <si>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</si>
  <si>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</si>
  <si>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</si>
  <si>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</si>
  <si>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</si>
  <si>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</si>
  <si>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</si>
  <si>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</si>
  <si>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</si>
  <si>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</si>
  <si>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</si>
  <si>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</si>
  <si>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</si>
  <si>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</si>
  <si>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</si>
  <si>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</si>
  <si>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</si>
  <si>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</si>
  <si>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</si>
  <si>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</si>
  <si>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</si>
  <si>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</si>
  <si>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</si>
  <si>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</si>
  <si>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</si>
  <si>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</si>
  <si>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</si>
  <si>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</si>
  <si>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</si>
  <si>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</si>
  <si>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</si>
  <si>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</si>
  <si>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</si>
  <si>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</si>
  <si>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</si>
  <si>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</si>
  <si>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</si>
  <si>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</si>
  <si>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</si>
  <si>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</si>
  <si>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</si>
  <si>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</si>
  <si>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</si>
  <si>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</si>
  <si>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</si>
  <si>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</si>
  <si>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</si>
  <si>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</si>
  <si>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</si>
  <si>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</si>
  <si>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</si>
  <si>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</si>
  <si>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</si>
  <si>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</si>
  <si>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</si>
  <si>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</si>
  <si>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</si>
  <si>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</si>
  <si>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</si>
  <si>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</si>
  <si>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</si>
  <si>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</si>
  <si>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</si>
  <si>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</si>
  <si>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</si>
  <si>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</si>
  <si>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</si>
  <si>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</si>
  <si>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</si>
  <si>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</si>
  <si>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</si>
  <si>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</si>
  <si>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</si>
  <si>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</si>
  <si>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</si>
  <si>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</si>
  <si>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</si>
  <si>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</si>
  <si>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</si>
  <si>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</si>
  <si>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</si>
  <si>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</si>
  <si>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</si>
  <si>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</si>
  <si>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</si>
  <si>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</si>
  <si>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</si>
  <si>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</si>
  <si>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</si>
  <si>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</si>
  <si>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</si>
  <si>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</si>
  <si>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</si>
  <si>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</si>
  <si>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</si>
  <si>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</si>
  <si>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</si>
  <si>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</si>
  <si>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</si>
  <si>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</si>
  <si>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</si>
  <si>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</si>
  <si>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</si>
  <si>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</si>
  <si>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</si>
  <si>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</si>
  <si>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</si>
  <si>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</si>
  <si>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</si>
  <si>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</si>
  <si>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</si>
  <si>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</si>
  <si>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</si>
  <si>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</si>
  <si>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</si>
  <si>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</si>
  <si>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</si>
  <si>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</si>
  <si>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</si>
  <si>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</si>
  <si>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</si>
  <si>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</si>
  <si>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</si>
  <si>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</si>
  <si>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</si>
  <si>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</si>
  <si>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</si>
  <si>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</si>
  <si>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</si>
  <si>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</si>
  <si>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</si>
  <si>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</si>
  <si>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</si>
  <si>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</si>
  <si>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</si>
  <si>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</si>
  <si>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</si>
  <si>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</si>
  <si>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</si>
  <si>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</si>
  <si>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</si>
  <si>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</si>
  <si>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</si>
  <si>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</si>
  <si>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</si>
  <si>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</si>
  <si>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</si>
  <si>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</si>
  <si>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</si>
  <si>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</si>
  <si>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</si>
  <si>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</si>
  <si>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</si>
  <si>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</si>
  <si>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</si>
  <si>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</si>
  <si>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</si>
  <si>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</si>
  <si>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</si>
  <si>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</si>
  <si>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</si>
  <si>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</si>
  <si>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</si>
  <si>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</si>
  <si>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</si>
  <si>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</si>
  <si>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</si>
  <si>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</si>
  <si>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</si>
  <si>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</si>
  <si>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</si>
  <si>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</si>
  <si>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</si>
  <si>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</si>
  <si>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</si>
  <si>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</si>
  <si>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</si>
  <si>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</si>
  <si>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</si>
  <si>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</si>
  <si>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</si>
  <si>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</si>
  <si>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</si>
  <si>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</si>
  <si>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</si>
  <si>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</si>
  <si>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</si>
  <si>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</si>
  <si>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</si>
  <si>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</si>
  <si>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</si>
  <si>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</si>
  <si>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</si>
  <si>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</si>
  <si>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</si>
  <si>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</si>
  <si>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</si>
  <si>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</si>
  <si>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</si>
  <si>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</si>
  <si>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</si>
  <si>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</si>
  <si>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</si>
  <si>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</si>
  <si>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</si>
  <si>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</si>
  <si>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</si>
  <si>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</si>
  <si>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</si>
  <si>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</si>
  <si>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</si>
  <si>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</si>
  <si>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</si>
  <si>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</si>
  <si>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</si>
  <si>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</si>
  <si>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</si>
  <si>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</si>
  <si>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</si>
  <si>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</si>
  <si>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</si>
  <si>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</si>
  <si>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</si>
  <si>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</si>
  <si>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</si>
  <si>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</si>
  <si>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</si>
  <si>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</si>
  <si>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</si>
  <si>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</si>
  <si>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</si>
  <si>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</si>
  <si>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</si>
  <si>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</si>
  <si>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</si>
  <si>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</si>
  <si>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</si>
  <si>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</si>
  <si>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</si>
  <si>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</si>
  <si>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</si>
  <si>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</si>
  <si>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</si>
  <si>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</si>
  <si>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</si>
  <si>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</si>
  <si>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</si>
  <si>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</si>
  <si>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</si>
  <si>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</si>
  <si>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</si>
  <si>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</si>
  <si>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</si>
  <si>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</si>
  <si>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</si>
  <si>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</si>
  <si>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</si>
  <si>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</si>
  <si>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</si>
  <si>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</si>
  <si>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</si>
  <si>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</si>
  <si>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</si>
  <si>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</si>
  <si>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</si>
  <si>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</si>
  <si>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</si>
  <si>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</si>
  <si>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</si>
  <si>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</si>
  <si>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</si>
  <si>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</si>
  <si>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</si>
  <si>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</si>
  <si>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</si>
  <si>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</si>
  <si>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</si>
  <si>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</si>
  <si>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</si>
  <si>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</si>
  <si>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</si>
  <si>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</si>
  <si>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</si>
  <si>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</si>
  <si>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</si>
  <si>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</si>
  <si>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</si>
  <si>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</si>
  <si>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</si>
  <si>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</si>
  <si>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</si>
  <si>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</si>
  <si>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</si>
  <si>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</si>
  <si>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</si>
  <si>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</si>
  <si>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</si>
  <si>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</si>
  <si>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</si>
  <si>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</si>
  <si>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</si>
  <si>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</si>
  <si>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</si>
  <si>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</si>
  <si>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</si>
  <si>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</si>
  <si>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</si>
  <si>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</si>
  <si>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</si>
  <si>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</si>
  <si>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</si>
  <si>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</si>
  <si>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</si>
  <si>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</si>
  <si>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</si>
  <si>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</si>
  <si>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</si>
  <si>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</si>
  <si>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</si>
  <si>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</si>
  <si>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</si>
  <si>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</si>
  <si>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</si>
  <si>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</si>
  <si>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</si>
  <si>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</si>
  <si>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</si>
  <si>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</si>
  <si>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</si>
  <si>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</si>
  <si>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</si>
  <si>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</si>
  <si>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</si>
  <si>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</si>
  <si>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</si>
  <si>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</si>
  <si>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</si>
  <si>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</si>
  <si>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</si>
  <si>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</si>
  <si>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</si>
  <si>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</si>
  <si>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</si>
  <si>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</si>
  <si>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</si>
  <si>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</si>
  <si>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</si>
  <si>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</si>
  <si>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</si>
  <si>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</si>
  <si>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</si>
  <si>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</si>
  <si>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</si>
  <si>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</si>
  <si>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</si>
  <si>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</si>
  <si>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</si>
  <si>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</si>
  <si>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</si>
  <si>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</si>
  <si>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</si>
  <si>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</si>
  <si>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</si>
  <si>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</si>
  <si>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</si>
  <si>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</si>
  <si>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</si>
  <si>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</si>
  <si>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</si>
  <si>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</si>
  <si>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</si>
  <si>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</si>
  <si>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</si>
  <si>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</si>
  <si>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</si>
  <si>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</si>
  <si>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</si>
  <si>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</si>
  <si>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</si>
  <si>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</si>
  <si>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</si>
  <si>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</si>
  <si>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</si>
  <si>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</si>
  <si>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</si>
  <si>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</si>
  <si>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</si>
  <si>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</si>
  <si>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</si>
  <si>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</si>
  <si>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</si>
  <si>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</si>
  <si>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</si>
  <si>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</si>
  <si>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</si>
  <si>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</si>
  <si>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</si>
  <si>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</si>
  <si>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</si>
  <si>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</si>
  <si>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</si>
  <si>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</si>
  <si>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</si>
  <si>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</si>
  <si>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</si>
  <si>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</si>
  <si>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</si>
  <si>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</si>
  <si>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</si>
  <si>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</si>
  <si>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</si>
  <si>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</si>
  <si>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</si>
  <si>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</si>
  <si>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</si>
  <si>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</si>
  <si>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</si>
  <si>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</si>
  <si>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</si>
  <si>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</si>
  <si>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</si>
  <si>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</si>
  <si>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</si>
  <si>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</si>
  <si>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</si>
  <si>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</si>
  <si>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</si>
  <si>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</si>
  <si>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</si>
  <si>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</si>
  <si>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</si>
  <si>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</si>
  <si>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</si>
  <si>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</si>
  <si>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</si>
  <si>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</si>
  <si>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</si>
  <si>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</si>
  <si>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</si>
  <si>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</si>
  <si>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</si>
  <si>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</si>
  <si>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</si>
  <si>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</si>
  <si>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</si>
  <si>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</si>
  <si>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</si>
  <si>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</si>
  <si>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</si>
  <si>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</si>
  <si>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</si>
  <si>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</si>
  <si>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</si>
  <si>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</si>
  <si>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</si>
  <si>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</si>
  <si>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</si>
  <si>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</si>
  <si>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</si>
  <si>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</si>
  <si>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</si>
  <si>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</si>
  <si>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</si>
  <si>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</si>
  <si>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</si>
  <si>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</si>
  <si>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</si>
  <si>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</si>
  <si>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</si>
  <si>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</si>
  <si>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</si>
  <si>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</si>
  <si>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</si>
  <si>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</si>
  <si>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</si>
  <si>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</si>
  <si>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</si>
  <si>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</si>
  <si>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</si>
  <si>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</si>
  <si>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</si>
  <si>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</si>
  <si>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</si>
  <si>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</si>
  <si>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</si>
  <si>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</si>
  <si>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</si>
  <si>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</si>
  <si>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</si>
  <si>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</si>
  <si>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</si>
  <si>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</si>
  <si>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</si>
  <si>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</si>
  <si>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</si>
  <si>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</si>
  <si>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</si>
  <si>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</si>
  <si>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</si>
  <si>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</si>
  <si>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</si>
  <si>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</si>
  <si>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</si>
  <si>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</si>
  <si>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</si>
  <si>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</si>
  <si>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</si>
  <si>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</si>
  <si>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</si>
  <si>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</si>
  <si>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</si>
  <si>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</si>
  <si>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</si>
  <si>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</si>
  <si>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</si>
  <si>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</si>
  <si>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</si>
  <si>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</si>
  <si>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</si>
  <si>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</si>
  <si>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</si>
  <si>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</si>
  <si>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</si>
  <si>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</si>
  <si>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</si>
  <si>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</si>
  <si>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</si>
  <si>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</si>
  <si>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</si>
  <si>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</si>
  <si>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</si>
  <si>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</si>
  <si>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</si>
  <si>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</si>
  <si>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</si>
  <si>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</si>
  <si>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</si>
  <si>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</si>
  <si>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</si>
  <si>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</si>
  <si>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</si>
  <si>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</si>
  <si>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</si>
  <si>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</si>
  <si>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</si>
  <si>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</si>
  <si>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</si>
  <si>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</si>
  <si>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</si>
  <si>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</si>
  <si>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</si>
  <si>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</si>
  <si>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</si>
  <si>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</si>
  <si>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</si>
  <si>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</si>
  <si>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</si>
  <si>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</si>
  <si>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</si>
  <si>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</si>
  <si>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</si>
  <si>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</si>
  <si>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</si>
  <si>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</si>
  <si>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</si>
  <si>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</si>
  <si>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</si>
  <si>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</si>
  <si>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</si>
  <si>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</si>
  <si>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</si>
  <si>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</si>
  <si>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</si>
  <si>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</si>
  <si>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</si>
  <si>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</si>
  <si>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</si>
  <si>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</si>
  <si>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</si>
  <si>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</si>
  <si>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</si>
  <si>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</si>
  <si>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</si>
  <si>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</si>
  <si>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</si>
  <si>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</si>
  <si>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</si>
  <si>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</si>
  <si>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</si>
  <si>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</si>
  <si>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</si>
  <si>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</si>
  <si>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</si>
  <si>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</si>
  <si>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</si>
  <si>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</si>
  <si>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</si>
  <si>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</si>
  <si>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</si>
  <si>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</si>
  <si>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</si>
  <si>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</si>
  <si>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</si>
  <si>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</si>
  <si>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</si>
  <si>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</si>
  <si>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</si>
  <si>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</si>
  <si>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</si>
  <si>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</si>
  <si>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</si>
  <si>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</si>
  <si>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</si>
  <si>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</si>
  <si>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</si>
  <si>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</si>
  <si>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</si>
  <si>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</si>
  <si>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</si>
  <si>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</si>
  <si>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</si>
  <si>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</si>
  <si>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</si>
  <si>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</si>
  <si>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</si>
  <si>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</si>
  <si>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</si>
  <si>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</si>
  <si>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</si>
  <si>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</si>
  <si>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</si>
  <si>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</si>
  <si>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</si>
  <si>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</si>
  <si>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</si>
  <si>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</si>
  <si>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</si>
  <si>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</si>
  <si>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</si>
  <si>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</si>
  <si>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</si>
  <si>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</si>
  <si>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</si>
  <si>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</si>
  <si>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</si>
  <si>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</si>
  <si>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</si>
  <si>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</si>
  <si>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</si>
  <si>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</si>
  <si>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</si>
  <si>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</si>
  <si>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</si>
  <si>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</si>
  <si>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</si>
  <si>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</si>
  <si>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</si>
  <si>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</si>
  <si>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</si>
  <si>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</si>
  <si>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</si>
  <si>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</si>
  <si>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</si>
  <si>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</si>
  <si>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</si>
  <si>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</si>
  <si>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</si>
  <si>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</si>
  <si>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</si>
  <si>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</si>
  <si>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</si>
  <si>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</si>
  <si>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</si>
  <si>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</si>
  <si>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</si>
  <si>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</si>
  <si>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</si>
  <si>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</si>
  <si>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</si>
  <si>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</si>
  <si>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</si>
  <si>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</si>
  <si>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</si>
  <si>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</si>
  <si>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</si>
  <si>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</si>
  <si>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</si>
  <si>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</si>
  <si>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</si>
  <si>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</si>
  <si>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</si>
  <si>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</si>
  <si>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</si>
  <si>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</si>
  <si>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</si>
  <si>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</si>
  <si>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</si>
  <si>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</si>
  <si>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</si>
  <si>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</si>
  <si>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</si>
  <si>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</si>
  <si>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</si>
  <si>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</si>
  <si>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</si>
  <si>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</si>
  <si>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</si>
  <si>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</si>
  <si>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</si>
  <si>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</si>
  <si>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</si>
  <si>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</si>
  <si>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</si>
  <si>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</si>
  <si>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</si>
  <si>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</si>
  <si>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</si>
  <si>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</si>
  <si>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</si>
  <si>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</si>
  <si>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</si>
  <si>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</si>
  <si>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</si>
  <si>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</si>
  <si>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</si>
  <si>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</si>
  <si>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</si>
  <si>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</si>
  <si>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</si>
  <si>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</si>
  <si>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</si>
  <si>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</si>
  <si>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</si>
  <si>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</si>
  <si>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</si>
  <si>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</si>
  <si>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</si>
  <si>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</si>
  <si>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</si>
  <si>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</si>
  <si>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</si>
  <si>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</si>
  <si>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</si>
  <si>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</si>
  <si>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</si>
  <si>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</si>
  <si>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</si>
  <si>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</si>
  <si>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</si>
  <si>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</si>
  <si>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</si>
  <si>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</si>
  <si>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</si>
  <si>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</si>
  <si>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</si>
  <si>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</si>
  <si>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</si>
  <si>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</si>
  <si>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</si>
  <si>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</si>
  <si>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</si>
  <si>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</si>
  <si>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</si>
  <si>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</si>
  <si>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</si>
  <si>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</si>
  <si>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</si>
  <si>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</si>
  <si>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</si>
  <si>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</si>
  <si>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</si>
  <si>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</si>
  <si>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</si>
  <si>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</si>
  <si>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</si>
  <si>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</si>
  <si>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</si>
  <si>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</si>
  <si>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</si>
  <si>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</si>
  <si>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</si>
  <si>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</si>
  <si>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</si>
  <si>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</si>
  <si>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</si>
  <si>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</si>
  <si>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</si>
  <si>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</si>
  <si>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</si>
  <si>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</si>
  <si>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</si>
  <si>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</si>
  <si>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</si>
  <si>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</si>
  <si>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</si>
  <si>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</si>
  <si>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</si>
  <si>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</si>
  <si>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</si>
  <si>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</si>
  <si>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</si>
  <si>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</si>
  <si>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</si>
  <si>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</si>
  <si>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</si>
  <si>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</si>
  <si>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</si>
  <si>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</si>
  <si>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</si>
  <si>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</si>
  <si>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</si>
  <si>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</si>
  <si>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</si>
  <si>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</si>
  <si>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</si>
  <si>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</si>
  <si>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</si>
  <si>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</si>
  <si>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</si>
  <si>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</si>
  <si>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</si>
  <si>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</si>
  <si>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</si>
  <si>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</si>
  <si>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</si>
  <si>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</si>
  <si>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</si>
  <si>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</si>
  <si>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</si>
  <si>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</si>
  <si>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</si>
  <si>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</si>
  <si>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</si>
  <si>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</si>
  <si>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</si>
  <si>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</si>
  <si>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</si>
  <si>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</si>
  <si>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</si>
  <si>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</si>
  <si>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</si>
  <si>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</si>
  <si>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</si>
  <si>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</si>
  <si>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</si>
  <si>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</si>
  <si>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</si>
  <si>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</si>
  <si>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</si>
  <si>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</si>
  <si>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</si>
  <si>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</si>
  <si>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</si>
  <si>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</si>
  <si>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</si>
  <si>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</si>
  <si>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</si>
  <si>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</si>
  <si>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</si>
  <si>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</si>
  <si>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</si>
  <si>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</si>
  <si>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</si>
  <si>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</si>
  <si>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</si>
  <si>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</si>
  <si>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</si>
  <si>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</si>
  <si>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</si>
  <si>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</si>
  <si>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</si>
  <si>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</si>
  <si>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</si>
  <si>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</si>
  <si>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</si>
  <si>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</si>
  <si>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</si>
  <si>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</si>
  <si>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</si>
  <si>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</si>
  <si>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</si>
  <si>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</si>
  <si>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</si>
  <si>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</si>
  <si>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</si>
  <si>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</si>
  <si>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</si>
  <si>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</si>
  <si>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</si>
  <si>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</si>
  <si>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</si>
  <si>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</si>
  <si>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</si>
  <si>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</si>
  <si>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</si>
  <si>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</si>
  <si>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</si>
  <si>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</si>
  <si>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</si>
  <si>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</si>
  <si>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</si>
  <si>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</si>
  <si>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</si>
  <si>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</si>
  <si>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</si>
  <si>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</si>
  <si>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</si>
  <si>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</si>
  <si>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</si>
  <si>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</si>
  <si>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</si>
  <si>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</si>
  <si>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</si>
  <si>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</si>
  <si>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</si>
  <si>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</si>
  <si>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</si>
  <si>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</si>
  <si>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</si>
  <si>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</si>
  <si>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</si>
  <si>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</si>
  <si>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</si>
  <si>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</si>
  <si>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</si>
  <si>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</si>
  <si>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</si>
  <si>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</si>
  <si>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</si>
  <si>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</si>
  <si>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</si>
  <si>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</si>
  <si>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</si>
  <si>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</si>
  <si>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</si>
  <si>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</si>
  <si>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</si>
  <si>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</si>
  <si>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</si>
  <si>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</si>
  <si>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</si>
  <si>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</si>
  <si>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</si>
  <si>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</si>
  <si>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</si>
  <si>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</si>
  <si>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</si>
  <si>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</si>
  <si>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</si>
  <si>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</si>
  <si>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</si>
  <si>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</si>
  <si>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</si>
  <si>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</si>
  <si>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</si>
  <si>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</si>
  <si>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</si>
  <si>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</si>
  <si>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</si>
  <si>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</si>
  <si>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</si>
  <si>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</si>
  <si>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</si>
  <si>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</si>
  <si>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</si>
  <si>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</si>
  <si>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</si>
  <si>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</si>
  <si>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</si>
  <si>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</si>
  <si>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</si>
  <si>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</si>
  <si>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</si>
  <si>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</si>
  <si>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</si>
  <si>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</si>
  <si>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</si>
  <si>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</si>
  <si>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</si>
  <si>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</si>
  <si>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</si>
  <si>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</si>
  <si>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</si>
  <si>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</si>
  <si>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</si>
  <si>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</si>
  <si>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</si>
  <si>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</si>
  <si>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</si>
  <si>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</si>
  <si>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</si>
  <si>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</si>
  <si>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</si>
  <si>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</si>
  <si>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</si>
  <si>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</si>
  <si>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</si>
  <si>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</si>
  <si>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</si>
  <si>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</si>
  <si>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</si>
  <si>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</si>
  <si>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</si>
  <si>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</si>
  <si>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</si>
  <si>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</si>
  <si>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</si>
  <si>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</si>
  <si>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</si>
  <si>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</si>
  <si>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</si>
  <si>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</si>
  <si>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</si>
  <si>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</si>
  <si>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</si>
  <si>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</si>
  <si>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</si>
  <si>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</si>
  <si>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</si>
  <si>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</si>
  <si>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</si>
  <si>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</si>
  <si>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</si>
  <si>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</si>
  <si>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</si>
  <si>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</si>
  <si>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</si>
  <si>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</si>
  <si>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</si>
  <si>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</si>
  <si>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</si>
  <si>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</si>
  <si>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</si>
  <si>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</si>
  <si>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</si>
  <si>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</si>
  <si>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</si>
  <si>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</si>
  <si>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</si>
  <si>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</si>
  <si>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</si>
  <si>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</si>
  <si>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</si>
  <si>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</si>
  <si>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</si>
  <si>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</si>
  <si>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</si>
  <si>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</si>
  <si>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</si>
  <si>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</si>
  <si>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</si>
  <si>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</si>
  <si>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</si>
  <si>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</si>
  <si>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</si>
  <si>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</si>
  <si>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</si>
  <si>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</si>
  <si>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</si>
  <si>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</si>
  <si>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</si>
  <si>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</si>
  <si>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</si>
  <si>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</si>
  <si>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</si>
  <si>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</si>
  <si>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</si>
  <si>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</si>
  <si>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</si>
  <si>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</si>
  <si>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</si>
  <si>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</si>
  <si>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</si>
  <si>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</si>
  <si>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</si>
  <si>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</si>
  <si>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</si>
  <si>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</si>
  <si>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</si>
  <si>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</si>
  <si>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</si>
  <si>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</si>
  <si>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</si>
  <si>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</si>
  <si>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</si>
  <si>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</si>
  <si>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</si>
  <si>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</si>
  <si>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</si>
  <si>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</si>
  <si>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</si>
  <si>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</si>
  <si>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</si>
  <si>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</si>
  <si>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</si>
  <si>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</si>
  <si>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</si>
  <si>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</si>
  <si>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</si>
  <si>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</si>
  <si>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</si>
  <si>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</si>
  <si>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</si>
  <si>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</si>
  <si>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</si>
  <si>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</si>
  <si>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</si>
  <si>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</si>
  <si>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</si>
  <si>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</si>
  <si>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</si>
  <si>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</si>
  <si>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</si>
  <si>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</si>
  <si>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</si>
  <si>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</si>
  <si>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</si>
  <si>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</si>
  <si>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</si>
  <si>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</si>
  <si>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</si>
  <si>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</si>
  <si>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</si>
  <si>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</si>
  <si>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</si>
  <si>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</si>
  <si>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</si>
  <si>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</si>
  <si>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</si>
  <si>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</si>
  <si>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</si>
  <si>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</si>
  <si>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</si>
  <si>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</si>
  <si>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</si>
  <si>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</si>
  <si>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</si>
  <si>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</si>
  <si>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</si>
  <si>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</si>
  <si>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</si>
  <si>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</si>
  <si>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</si>
  <si>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</si>
  <si>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</si>
  <si>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</si>
  <si>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</si>
  <si>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</si>
  <si>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</si>
  <si>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</si>
  <si>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</si>
  <si>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</si>
  <si>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</si>
  <si>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</si>
  <si>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</si>
  <si>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</si>
  <si>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</si>
  <si>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</si>
  <si>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</si>
  <si>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</si>
  <si>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</si>
  <si>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</si>
  <si>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</si>
  <si>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</si>
  <si>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</si>
  <si>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</si>
  <si>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</si>
  <si>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</si>
  <si>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</si>
  <si>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</si>
  <si>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</si>
  <si>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</si>
  <si>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</si>
  <si>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</si>
  <si>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</si>
  <si>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</si>
  <si>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</si>
  <si>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</si>
  <si>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</si>
  <si>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</si>
  <si>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</si>
  <si>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</si>
  <si>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</si>
  <si>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</si>
  <si>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</si>
  <si>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</si>
  <si>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</si>
  <si>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</si>
  <si>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</si>
  <si>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</si>
  <si>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</si>
  <si>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</si>
  <si>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</si>
  <si>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</si>
  <si>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</si>
  <si>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</si>
  <si>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</si>
  <si>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</si>
  <si>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</si>
  <si>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</si>
  <si>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</si>
  <si>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</si>
  <si>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</si>
  <si>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</si>
  <si>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</si>
  <si>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</si>
  <si>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</si>
  <si>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</si>
  <si>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</si>
  <si>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</si>
  <si>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</si>
  <si>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</si>
  <si>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</si>
  <si>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</si>
  <si>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</si>
  <si>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</si>
  <si>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</si>
  <si>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</si>
  <si>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</si>
  <si>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</si>
  <si>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</si>
  <si>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</si>
  <si>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</si>
  <si>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</si>
  <si>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</si>
  <si>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</si>
  <si>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</si>
  <si>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</si>
  <si>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</si>
  <si>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</si>
  <si>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</si>
  <si>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</si>
  <si>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</si>
  <si>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</si>
  <si>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</si>
  <si>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</si>
  <si>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</si>
  <si>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</si>
  <si>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</si>
  <si>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</si>
  <si>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</si>
  <si>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</si>
  <si>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</si>
  <si>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</si>
  <si>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</si>
  <si>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</si>
  <si>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</si>
  <si>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</si>
  <si>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</si>
  <si>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</si>
  <si>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</si>
  <si>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</si>
  <si>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</si>
  <si>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</si>
  <si>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</si>
  <si>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</si>
  <si>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</si>
  <si>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</si>
  <si>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</si>
  <si>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</si>
  <si>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</si>
  <si>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</si>
  <si>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</si>
  <si>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</si>
  <si>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</si>
  <si>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</si>
  <si>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</si>
  <si>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</si>
  <si>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</si>
  <si>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</si>
  <si>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</si>
  <si>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</si>
  <si>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</si>
  <si>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</si>
  <si>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</si>
  <si>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</si>
  <si>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</si>
  <si>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</si>
  <si>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</si>
  <si>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</si>
  <si>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</si>
  <si>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</si>
  <si>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</si>
  <si>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</si>
  <si>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</si>
  <si>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</si>
  <si>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</si>
  <si>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</si>
  <si>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</si>
  <si>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</si>
  <si>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</si>
  <si>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</si>
  <si>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</si>
  <si>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</si>
  <si>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</si>
  <si>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</si>
  <si>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</si>
  <si>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</si>
  <si>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</si>
  <si>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</si>
  <si>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</si>
  <si>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</si>
  <si>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</si>
  <si>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</si>
  <si>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</si>
  <si>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</si>
  <si>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</si>
  <si>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</si>
  <si>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</si>
  <si>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</si>
  <si>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</si>
  <si>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</si>
  <si>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</si>
  <si>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</si>
  <si>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</si>
  <si>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</si>
  <si>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</si>
  <si>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</si>
  <si>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</si>
  <si>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</si>
  <si>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</si>
  <si>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</si>
  <si>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</si>
  <si>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</si>
  <si>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</si>
  <si>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</si>
  <si>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</si>
  <si>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</si>
  <si>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</si>
  <si>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</si>
  <si>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</si>
  <si>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</si>
  <si>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</si>
  <si>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</si>
  <si>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</si>
  <si>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</si>
  <si>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</si>
  <si>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</si>
  <si>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</si>
  <si>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</si>
  <si>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</si>
  <si>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</si>
  <si>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</si>
  <si>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</si>
  <si>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</si>
  <si>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</si>
  <si>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</si>
  <si>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</si>
  <si>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</si>
  <si>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</si>
  <si>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</si>
  <si>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</si>
  <si>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</si>
  <si>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</si>
  <si>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</si>
  <si>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</si>
  <si>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</si>
  <si>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</si>
  <si>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</si>
  <si>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</si>
  <si>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</si>
  <si>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</si>
  <si>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</si>
  <si>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</si>
  <si>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</si>
  <si>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</si>
  <si>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</si>
  <si>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</si>
  <si>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</si>
  <si>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</si>
  <si>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</si>
  <si>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</si>
  <si>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</si>
  <si>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</si>
  <si>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</si>
  <si>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</si>
  <si>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</si>
  <si>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</si>
  <si>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</si>
  <si>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</si>
  <si>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</si>
  <si>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</si>
  <si>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</si>
  <si>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</si>
  <si>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</si>
  <si>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</si>
  <si>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</si>
  <si>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</si>
  <si>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</si>
  <si>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</si>
  <si>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</si>
  <si>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</si>
  <si>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</si>
  <si>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</si>
  <si>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</si>
  <si>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</si>
  <si>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</si>
  <si>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</si>
  <si>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</si>
  <si>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</si>
  <si>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</si>
  <si>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</si>
  <si>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</si>
  <si>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</si>
  <si>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</si>
  <si>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</si>
  <si>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</si>
  <si>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</si>
  <si>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</si>
  <si>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</si>
  <si>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</si>
  <si>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</si>
  <si>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</si>
  <si>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</si>
  <si>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</si>
  <si>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</si>
  <si>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</si>
  <si>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</si>
  <si>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</si>
  <si>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</si>
  <si>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</si>
  <si>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</si>
  <si>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</si>
  <si>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</si>
  <si>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</si>
  <si>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</si>
  <si>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</si>
  <si>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</si>
  <si>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</si>
  <si>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</si>
  <si>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</si>
  <si>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</si>
  <si>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</si>
  <si>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</si>
  <si>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</si>
  <si>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</si>
  <si>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</si>
  <si>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</si>
  <si>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</si>
  <si>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</si>
  <si>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</si>
  <si>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</si>
  <si>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</si>
  <si>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</si>
  <si>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</si>
  <si>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</si>
  <si>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</si>
  <si>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</si>
  <si>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</si>
  <si>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</si>
  <si>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</si>
  <si>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</si>
  <si>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</si>
  <si>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</si>
  <si>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</si>
  <si>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</si>
  <si>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</si>
  <si>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</si>
  <si>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</si>
  <si>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</si>
  <si>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</si>
  <si>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</si>
  <si>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</si>
  <si>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</si>
  <si>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</si>
  <si>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</si>
  <si>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</si>
  <si>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</si>
  <si>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</si>
  <si>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</si>
  <si>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</si>
  <si>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</si>
  <si>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</si>
  <si>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</si>
  <si>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</si>
  <si>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</si>
  <si>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</si>
  <si>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</si>
  <si>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</si>
  <si>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</si>
  <si>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</si>
  <si>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</si>
  <si>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</si>
  <si>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</si>
  <si>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</si>
  <si>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</si>
  <si>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</si>
  <si>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</si>
  <si>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</si>
  <si>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</si>
  <si>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</si>
  <si>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</si>
  <si>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</si>
  <si>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</si>
  <si>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</si>
  <si>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</si>
  <si>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</si>
  <si>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</si>
  <si>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</si>
  <si>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</si>
  <si>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</si>
  <si>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</si>
  <si>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</si>
  <si>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</si>
  <si>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</si>
  <si>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</si>
  <si>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</si>
  <si>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</si>
  <si>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</si>
  <si>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</si>
  <si>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</si>
  <si>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</si>
  <si>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</si>
  <si>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</si>
  <si>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</si>
  <si>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</si>
  <si>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</si>
  <si>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</si>
  <si>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</si>
  <si>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</si>
  <si>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</si>
  <si>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</si>
  <si>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</si>
  <si>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</si>
  <si>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</si>
  <si>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</si>
  <si>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</si>
  <si>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</si>
  <si>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</si>
  <si>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</si>
  <si>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</si>
  <si>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</si>
  <si>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</si>
  <si>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</si>
  <si>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</si>
  <si>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</si>
  <si>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</si>
  <si>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</si>
  <si>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</si>
  <si>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</si>
  <si>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</si>
  <si>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</si>
  <si>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</si>
  <si>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</si>
  <si>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</si>
  <si>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</si>
  <si>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</si>
  <si>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</si>
  <si>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</si>
  <si>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</si>
  <si>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</si>
  <si>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</si>
  <si>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</si>
  <si>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</si>
  <si>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</si>
  <si>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</si>
  <si>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</si>
  <si>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</si>
  <si>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</si>
  <si>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</si>
  <si>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</si>
  <si>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</si>
  <si>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</si>
  <si>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</si>
  <si>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</si>
  <si>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</si>
  <si>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</si>
  <si>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</si>
  <si>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</si>
  <si>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</si>
  <si>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</si>
  <si>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</si>
  <si>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</si>
  <si>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</si>
  <si>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</si>
  <si>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</si>
  <si>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</si>
  <si>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</si>
  <si>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</si>
  <si>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</si>
  <si>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</si>
  <si>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</si>
  <si>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</si>
  <si>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</si>
  <si>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</si>
  <si>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</si>
  <si>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</si>
  <si>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</si>
  <si>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</si>
  <si>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</si>
  <si>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</si>
  <si>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</si>
  <si>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</si>
  <si>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</si>
  <si>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</si>
  <si>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</si>
  <si>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</si>
  <si>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</si>
  <si>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</si>
  <si>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</si>
  <si>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</si>
  <si>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</si>
  <si>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</si>
  <si>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</si>
  <si>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</si>
  <si>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</si>
  <si>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</si>
  <si>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</si>
  <si>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</si>
  <si>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</si>
  <si>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</si>
  <si>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</si>
  <si>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</si>
  <si>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</si>
  <si>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</si>
  <si>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</si>
  <si>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</si>
  <si>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</si>
  <si>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</si>
  <si>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</si>
  <si>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</si>
  <si>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</si>
  <si>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</si>
  <si>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</si>
  <si>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</si>
  <si>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</si>
  <si>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</si>
  <si>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</si>
  <si>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</si>
  <si>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</si>
  <si>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</si>
  <si>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</si>
  <si>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</si>
  <si>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</si>
  <si>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</si>
  <si>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</si>
  <si>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</si>
  <si>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</si>
  <si>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</si>
  <si>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</si>
  <si>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</si>
  <si>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</si>
  <si>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</si>
  <si>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</si>
  <si>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</si>
  <si>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</si>
  <si>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</si>
  <si>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</si>
  <si>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</si>
  <si>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</si>
  <si>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</si>
  <si>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</si>
  <si>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</si>
  <si>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</si>
  <si>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</si>
  <si>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</si>
  <si>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</si>
  <si>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</si>
  <si>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</si>
  <si>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</si>
  <si>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</si>
  <si>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</si>
  <si>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</si>
  <si>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</si>
  <si>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</si>
  <si>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</si>
  <si>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</si>
  <si>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</si>
  <si>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</si>
  <si>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</si>
  <si>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</si>
  <si>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</si>
  <si>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</si>
  <si>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</si>
  <si>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</si>
  <si>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</si>
  <si>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</si>
  <si>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</si>
  <si>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</si>
  <si>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</si>
  <si>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</si>
  <si>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</si>
  <si>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</si>
  <si>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</si>
  <si>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</si>
  <si>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</si>
  <si>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</si>
  <si>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</si>
  <si>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</si>
  <si>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</si>
  <si>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</si>
  <si>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</si>
  <si>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</si>
  <si>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</si>
  <si>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</si>
  <si>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</si>
  <si>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</si>
  <si>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</si>
  <si>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</si>
  <si>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</si>
  <si>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</si>
  <si>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</si>
  <si>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</si>
  <si>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</si>
  <si>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</si>
  <si>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</si>
  <si>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</si>
  <si>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</si>
  <si>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</si>
  <si>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</si>
  <si>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</si>
  <si>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</si>
  <si>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</si>
  <si>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</si>
  <si>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</si>
  <si>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</si>
  <si>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</si>
  <si>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</si>
  <si>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</si>
  <si>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</si>
  <si>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</si>
  <si>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</si>
  <si>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</si>
  <si>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</si>
  <si>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</si>
  <si>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</si>
  <si>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</si>
  <si>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</si>
  <si>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</si>
  <si>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</si>
  <si>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</si>
  <si>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</si>
  <si>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</si>
  <si>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</si>
  <si>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</si>
  <si>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</si>
  <si>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</si>
  <si>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</si>
  <si>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</si>
  <si>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</si>
  <si>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</si>
  <si>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</si>
  <si>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</si>
  <si>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</si>
  <si>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</si>
  <si>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</si>
  <si>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</si>
  <si>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</si>
  <si>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</si>
  <si>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</si>
  <si>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</si>
  <si>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</si>
  <si>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</si>
  <si>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</si>
  <si>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</si>
  <si>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</si>
  <si>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</si>
  <si>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</si>
  <si>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</si>
  <si>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</si>
  <si>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</si>
  <si>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</si>
  <si>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</si>
  <si>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</si>
  <si>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</si>
  <si>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</si>
  <si>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</si>
  <si>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</si>
  <si>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</si>
  <si>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</si>
  <si>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</si>
  <si>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</si>
  <si>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</si>
  <si>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</si>
  <si>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</si>
  <si>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</si>
  <si>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</si>
  <si>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</si>
  <si>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</si>
  <si>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</si>
  <si>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</si>
  <si>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</si>
  <si>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</si>
  <si>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</si>
  <si>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</si>
  <si>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</si>
  <si>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</si>
  <si>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</si>
  <si>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</si>
  <si>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</si>
  <si>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</si>
  <si>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</si>
  <si>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</si>
  <si>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</si>
  <si>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</si>
  <si>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</si>
  <si>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</si>
  <si>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</si>
  <si>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</si>
  <si>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</si>
  <si>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</si>
  <si>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</si>
  <si>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</si>
  <si>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</si>
  <si>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</si>
  <si>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</si>
  <si>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</si>
  <si>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</si>
  <si>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</si>
  <si>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</si>
  <si>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</si>
  <si>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</si>
  <si>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</si>
  <si>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</si>
  <si>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</si>
  <si>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</si>
  <si>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</si>
  <si>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</si>
  <si>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</si>
  <si>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</si>
  <si>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</si>
  <si>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</si>
  <si>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</si>
  <si>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</si>
  <si>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</si>
  <si>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</si>
  <si>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</si>
  <si>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</si>
  <si>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</si>
  <si>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</si>
  <si>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</si>
  <si>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</si>
  <si>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</si>
  <si>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</si>
  <si>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</si>
  <si>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</si>
  <si>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</si>
  <si>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</si>
  <si>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</si>
  <si>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</si>
  <si>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</si>
  <si>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</si>
  <si>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</si>
  <si>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</si>
  <si>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</si>
  <si>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</si>
  <si>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</si>
  <si>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</si>
  <si>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</si>
  <si>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</si>
  <si>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</si>
  <si>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</si>
  <si>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</si>
  <si>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</si>
  <si>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</si>
  <si>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</si>
  <si>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</si>
  <si>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</si>
  <si>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</si>
  <si>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</si>
  <si>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</si>
  <si>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</si>
  <si>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</si>
  <si>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</si>
  <si>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</si>
  <si>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</si>
  <si>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</si>
  <si>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</si>
  <si>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</si>
  <si>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</si>
  <si>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</si>
  <si>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</si>
  <si>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</si>
  <si>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</si>
  <si>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</si>
  <si>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</si>
  <si>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</si>
  <si>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</si>
  <si>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</si>
  <si>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</si>
  <si>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</si>
  <si>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</si>
  <si>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</si>
  <si>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</si>
  <si>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</si>
  <si>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</si>
  <si>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</si>
  <si>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</si>
  <si>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</si>
  <si>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</si>
  <si>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</si>
  <si>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</si>
  <si>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</si>
  <si>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</si>
  <si>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</si>
  <si>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</si>
  <si>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</si>
  <si>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</si>
  <si>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</si>
  <si>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</si>
  <si>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</si>
  <si>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</si>
  <si>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</si>
  <si>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</si>
  <si>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</si>
  <si>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</si>
  <si>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</si>
  <si>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</si>
  <si>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</si>
  <si>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</si>
  <si>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</si>
  <si>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</si>
  <si>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</si>
  <si>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</si>
  <si>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</si>
  <si>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</si>
  <si>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</si>
  <si>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</si>
  <si>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</si>
  <si>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</si>
  <si>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</si>
  <si>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</si>
  <si>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</si>
  <si>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</si>
  <si>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</si>
  <si>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</si>
  <si>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</si>
  <si>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</si>
  <si>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</si>
  <si>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</si>
  <si>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</si>
  <si>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</si>
  <si>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</si>
  <si>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</si>
  <si>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</si>
  <si>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</si>
  <si>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</si>
  <si>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</si>
  <si>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</si>
  <si>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</si>
  <si>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</si>
  <si>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</si>
  <si>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</si>
  <si>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</si>
  <si>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</si>
  <si>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</si>
  <si>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</si>
  <si>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</si>
  <si>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</si>
  <si>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</si>
  <si>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</si>
  <si>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</si>
  <si>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</si>
  <si>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</si>
  <si>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</si>
  <si>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</si>
  <si>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</si>
  <si>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</si>
  <si>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</si>
  <si>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</si>
  <si>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</si>
  <si>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</si>
  <si>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</si>
  <si>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</si>
  <si>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</si>
  <si>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</si>
  <si>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</si>
  <si>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</si>
  <si>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</si>
  <si>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</si>
  <si>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</si>
  <si>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</si>
  <si>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</si>
  <si>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</si>
  <si>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</si>
  <si>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</si>
  <si>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</si>
  <si>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</si>
  <si>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</si>
  <si>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</si>
  <si>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</si>
  <si>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</si>
  <si>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</si>
  <si>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</si>
  <si>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</si>
  <si>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</si>
  <si>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</si>
  <si>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</si>
  <si>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</si>
  <si>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</si>
  <si>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</si>
  <si>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</si>
  <si>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</si>
  <si>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</si>
  <si>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</si>
  <si>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</si>
  <si>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</si>
  <si>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</si>
  <si>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</si>
  <si>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</si>
  <si>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</si>
  <si>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</si>
  <si>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</si>
  <si>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</si>
  <si>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</si>
  <si>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</si>
  <si>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</si>
  <si>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</si>
  <si>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</si>
  <si>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</si>
  <si>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</si>
  <si>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</si>
  <si>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</si>
  <si>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</si>
  <si>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</si>
  <si>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</si>
  <si>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</si>
  <si>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</si>
  <si>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</si>
  <si>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</si>
  <si>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</si>
  <si>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</si>
  <si>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</si>
  <si>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</si>
  <si>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</si>
  <si>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</si>
  <si>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</si>
  <si>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</si>
  <si>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</si>
  <si>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</si>
  <si>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</si>
  <si>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</si>
  <si>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</si>
  <si>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</si>
  <si>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</si>
  <si>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</si>
  <si>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</si>
  <si>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</si>
  <si>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</si>
  <si>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</si>
  <si>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</si>
  <si>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</si>
  <si>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</si>
  <si>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</si>
  <si>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</si>
  <si>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</si>
  <si>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</si>
  <si>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</si>
  <si>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</si>
  <si>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</si>
  <si>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</si>
  <si>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</si>
  <si>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</si>
  <si>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</si>
  <si>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</si>
  <si>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</si>
  <si>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</si>
  <si>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</si>
  <si>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</si>
  <si>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</si>
  <si>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</si>
  <si>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</si>
  <si>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</si>
  <si>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</si>
  <si>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</si>
  <si>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</si>
  <si>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</si>
  <si>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</si>
  <si>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</si>
  <si>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</si>
  <si>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</si>
  <si>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</si>
  <si>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</si>
  <si>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</si>
  <si>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</si>
  <si>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</si>
  <si>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</si>
  <si>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</si>
  <si>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</si>
  <si>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</si>
  <si>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</si>
  <si>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</si>
  <si>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</si>
  <si>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</si>
  <si>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</si>
  <si>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</si>
  <si>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</si>
  <si>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</si>
  <si>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</si>
  <si>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</si>
  <si>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</si>
  <si>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</si>
  <si>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</si>
  <si>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</si>
  <si>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</si>
  <si>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</si>
  <si>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</si>
  <si>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</si>
  <si>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</si>
  <si>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</si>
  <si>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</si>
  <si>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</si>
  <si>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</si>
  <si>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</si>
  <si>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</si>
  <si>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</si>
  <si>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</si>
  <si>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</si>
  <si>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</si>
  <si>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</si>
  <si>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</si>
  <si>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</si>
  <si>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</si>
  <si>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</si>
  <si>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</si>
  <si>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</si>
  <si>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</si>
  <si>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</si>
  <si>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</si>
  <si>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</si>
  <si>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</si>
  <si>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</si>
  <si>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</si>
  <si>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</si>
  <si>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</si>
  <si>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</si>
  <si>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</si>
  <si>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</si>
  <si>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</si>
  <si>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</si>
  <si>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</si>
  <si>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</si>
  <si>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</si>
  <si>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</si>
  <si>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</si>
  <si>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</si>
  <si>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</si>
  <si>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</si>
  <si>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</si>
  <si>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</si>
  <si>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</si>
  <si>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</si>
  <si>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</si>
  <si>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</si>
  <si>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</si>
  <si>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</si>
  <si>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</si>
  <si>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</si>
  <si>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</si>
  <si>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</si>
  <si>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</si>
  <si>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</si>
  <si>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</si>
  <si>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</si>
  <si>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</si>
  <si>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</si>
  <si>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</si>
  <si>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</si>
  <si>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</si>
  <si>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</si>
  <si>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</si>
  <si>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</si>
  <si>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</si>
  <si>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</si>
  <si>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</si>
  <si>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</si>
  <si>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</si>
  <si>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</si>
  <si>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</si>
  <si>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</si>
  <si>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</si>
  <si>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</si>
  <si>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</si>
  <si>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</si>
  <si>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</si>
  <si>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</si>
  <si>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</si>
  <si>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</si>
  <si>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</si>
  <si>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</si>
  <si>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</si>
  <si>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</si>
  <si>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</si>
  <si>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</si>
  <si>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</si>
  <si>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</si>
  <si>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</si>
  <si>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</si>
  <si>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</si>
  <si>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</si>
  <si>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</si>
  <si>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</si>
  <si>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</si>
  <si>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</si>
  <si>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</si>
  <si>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</si>
  <si>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</si>
  <si>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</si>
  <si>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</si>
  <si>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</si>
  <si>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</si>
  <si>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</si>
  <si>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</si>
  <si>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</si>
  <si>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</si>
  <si>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</si>
  <si>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</si>
  <si>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</si>
  <si>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</si>
  <si>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</si>
  <si>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</si>
  <si>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</si>
  <si>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</si>
  <si>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</si>
  <si>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</si>
  <si>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</si>
  <si>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</si>
  <si>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</si>
  <si>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</si>
  <si>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</si>
  <si>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</si>
  <si>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</si>
  <si>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</si>
  <si>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</si>
  <si>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</si>
  <si>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</si>
  <si>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</si>
  <si>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</si>
  <si>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</si>
  <si>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</si>
  <si>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</si>
  <si>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</si>
  <si>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</si>
  <si>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</si>
  <si>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</si>
  <si>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</si>
  <si>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</si>
  <si>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</si>
  <si>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</si>
  <si>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</si>
  <si>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</si>
  <si>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</si>
  <si>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</si>
  <si>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</si>
  <si>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</si>
  <si>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</si>
  <si>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</si>
  <si>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</si>
  <si>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</si>
  <si>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</si>
  <si>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</si>
  <si>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</si>
  <si>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</si>
  <si>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</si>
  <si>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</si>
  <si>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</si>
  <si>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</si>
  <si>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</si>
  <si>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</si>
  <si>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</si>
  <si>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</si>
  <si>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</si>
  <si>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</si>
  <si>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</si>
  <si>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</si>
  <si>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</si>
  <si>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</si>
  <si>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</si>
  <si>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</si>
  <si>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</si>
  <si>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</si>
  <si>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</si>
  <si>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</si>
  <si>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</si>
  <si>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</si>
  <si>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</si>
  <si>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</si>
  <si>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</si>
  <si>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</si>
  <si>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</si>
  <si>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</si>
  <si>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</si>
  <si>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</si>
  <si>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</si>
  <si>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</si>
  <si>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</si>
  <si>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</si>
  <si>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</si>
  <si>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</si>
  <si>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</si>
  <si>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</si>
  <si>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</si>
  <si>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</si>
  <si>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</si>
  <si>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</si>
  <si>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</si>
  <si>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</si>
  <si>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</si>
  <si>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</si>
  <si>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</si>
  <si>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</si>
  <si>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</si>
  <si>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</si>
  <si>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</si>
  <si>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</si>
  <si>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</si>
  <si>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</si>
  <si>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</si>
  <si>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</si>
  <si>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</si>
  <si>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</si>
  <si>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</si>
  <si>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</si>
  <si>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</si>
  <si>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</si>
  <si>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</si>
  <si>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</si>
  <si>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</si>
  <si>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</si>
  <si>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</si>
  <si>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</si>
  <si>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</si>
  <si>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</si>
  <si>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</si>
  <si>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</si>
  <si>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</si>
  <si>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</si>
  <si>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</si>
  <si>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</si>
  <si>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</si>
  <si>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</si>
  <si>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</si>
  <si>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</si>
  <si>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</si>
  <si>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</si>
  <si>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</si>
  <si>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</si>
  <si>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</si>
  <si>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</si>
  <si>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</si>
  <si>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</si>
  <si>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</si>
  <si>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</si>
  <si>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</si>
  <si>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</si>
  <si>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</si>
  <si>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</si>
  <si>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</si>
  <si>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</si>
  <si>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</si>
  <si>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</si>
  <si>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</si>
  <si>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</si>
  <si>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</si>
  <si>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</si>
  <si>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</si>
  <si>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</si>
  <si>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</si>
  <si>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</si>
  <si>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</si>
  <si>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</si>
  <si>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</si>
  <si>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</si>
  <si>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</si>
  <si>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</si>
  <si>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</si>
  <si>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</si>
  <si>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</si>
  <si>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</si>
  <si>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</si>
  <si>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</si>
  <si>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</si>
  <si>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</si>
  <si>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</si>
  <si>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</si>
  <si>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</si>
  <si>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</si>
  <si>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</si>
  <si>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</si>
  <si>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</si>
  <si>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</si>
  <si>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</si>
  <si>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</si>
  <si>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</si>
  <si>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</si>
  <si>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</si>
  <si>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</si>
  <si>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</si>
  <si>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</si>
  <si>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</si>
  <si>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</si>
  <si>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</si>
  <si>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</si>
  <si>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</si>
  <si>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</si>
  <si>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</si>
  <si>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</si>
  <si>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</si>
  <si>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</si>
  <si>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</si>
  <si>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</si>
  <si>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</si>
  <si>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</si>
  <si>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</si>
  <si>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</si>
  <si>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</si>
  <si>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</si>
  <si>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</si>
  <si>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</si>
  <si>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</si>
  <si>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</si>
  <si>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</si>
  <si>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</si>
  <si>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</si>
  <si>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</si>
  <si>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</si>
  <si>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</si>
  <si>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</si>
  <si>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</si>
  <si>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</si>
  <si>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</si>
  <si>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</si>
  <si>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</si>
  <si>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</si>
  <si>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</si>
  <si>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</si>
  <si>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</si>
  <si>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</si>
  <si>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</si>
  <si>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</si>
  <si>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</si>
  <si>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</si>
  <si>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</si>
  <si>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</si>
  <si>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</si>
  <si>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</si>
  <si>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</si>
  <si>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</si>
  <si>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</si>
  <si>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</si>
  <si>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</si>
  <si>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</si>
  <si>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</si>
  <si>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</si>
  <si>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</si>
  <si>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</si>
  <si>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</si>
  <si>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</si>
  <si>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</si>
  <si>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</si>
  <si>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</si>
  <si>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</si>
  <si>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</si>
  <si>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</si>
  <si>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</si>
  <si>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</si>
  <si>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</si>
  <si>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</si>
  <si>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</si>
  <si>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</si>
  <si>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</si>
  <si>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</si>
  <si>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</si>
  <si>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</si>
  <si>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</si>
  <si>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</si>
  <si>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</si>
  <si>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</si>
  <si>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</si>
  <si>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</si>
  <si>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</si>
  <si>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</si>
  <si>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</si>
  <si>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</si>
  <si>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</si>
  <si>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</si>
  <si>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</si>
  <si>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</si>
  <si>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</si>
  <si>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</si>
  <si>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</si>
  <si>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</si>
  <si>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</si>
  <si>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</si>
  <si>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</si>
  <si>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</si>
  <si>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</si>
  <si>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</si>
  <si>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</si>
  <si>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</si>
  <si>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</si>
  <si>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</si>
  <si>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</si>
  <si>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</si>
  <si>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</si>
  <si>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</si>
  <si>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</si>
  <si>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</si>
  <si>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</si>
  <si>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</si>
  <si>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</si>
  <si>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</si>
  <si>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</si>
  <si>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</si>
  <si>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</si>
  <si>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</si>
  <si>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</si>
  <si>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</si>
  <si>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</si>
  <si>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</si>
  <si>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</si>
  <si>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</si>
  <si>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</si>
  <si>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</si>
  <si>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</si>
  <si>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</si>
  <si>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</si>
  <si>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</si>
  <si>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</si>
  <si>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</si>
  <si>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</si>
  <si>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</si>
  <si>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</si>
  <si>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</si>
  <si>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</si>
  <si>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</si>
  <si>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</si>
  <si>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</si>
  <si>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</si>
  <si>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</si>
  <si>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</si>
  <si>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</si>
  <si>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</si>
  <si>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</si>
  <si>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</si>
  <si>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</si>
  <si>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</si>
  <si>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</si>
  <si>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</si>
  <si>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</si>
  <si>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</si>
  <si>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</si>
  <si>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</si>
  <si>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</si>
  <si>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</si>
  <si>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</si>
  <si>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</si>
  <si>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</si>
  <si>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</si>
  <si>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</si>
  <si>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</si>
  <si>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</si>
  <si>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</si>
  <si>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</si>
  <si>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</si>
  <si>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</si>
  <si>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</si>
  <si>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</si>
  <si>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</si>
  <si>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</si>
  <si>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</si>
  <si>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</si>
  <si>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</si>
  <si>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</si>
  <si>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</si>
  <si>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</si>
  <si>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</si>
  <si>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</si>
  <si>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</si>
  <si>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</si>
  <si>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</si>
  <si>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</si>
  <si>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</si>
  <si>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</si>
  <si>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</si>
  <si>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</si>
  <si>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</si>
  <si>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</si>
  <si>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</si>
  <si>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</si>
  <si>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</si>
  <si>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</si>
  <si>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</si>
  <si>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</si>
  <si>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</si>
  <si>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</si>
  <si>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</si>
  <si>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</si>
  <si>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</si>
  <si>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</si>
  <si>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</si>
  <si>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</si>
  <si>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</si>
  <si>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</si>
  <si>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</si>
  <si>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</si>
  <si>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</si>
  <si>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</si>
  <si>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</si>
  <si>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</si>
  <si>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</si>
  <si>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</si>
  <si>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</si>
  <si>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</si>
  <si>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</si>
  <si>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</si>
  <si>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</si>
  <si>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</si>
  <si>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</si>
  <si>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</si>
  <si>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</si>
  <si>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</si>
  <si>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</si>
  <si>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</si>
  <si>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</si>
  <si>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</si>
  <si>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</si>
  <si>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</si>
  <si>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</si>
  <si>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</si>
  <si>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</si>
  <si>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</si>
  <si>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</si>
  <si>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</si>
  <si>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</si>
  <si>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</si>
  <si>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</si>
  <si>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</si>
  <si>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</si>
  <si>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</si>
  <si>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</si>
  <si>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</si>
  <si>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</si>
  <si>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</si>
  <si>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</si>
  <si>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</si>
  <si>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</si>
  <si>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</si>
  <si>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</si>
  <si>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</si>
  <si>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</si>
  <si>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</si>
  <si>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</si>
  <si>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</si>
  <si>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</si>
  <si>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</si>
  <si>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</si>
  <si>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</si>
  <si>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</si>
  <si>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</si>
  <si>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</si>
  <si>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</si>
  <si>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</si>
  <si>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</si>
  <si>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</si>
  <si>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</si>
  <si>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</si>
  <si>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</si>
  <si>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</si>
  <si>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</si>
  <si>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</si>
  <si>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</si>
  <si>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</si>
  <si>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</si>
  <si>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</si>
  <si>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</si>
  <si>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</si>
  <si>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</si>
  <si>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</si>
  <si>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</si>
  <si>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</si>
  <si>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</si>
  <si>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</si>
  <si>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</si>
  <si>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</si>
  <si>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</si>
  <si>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</si>
  <si>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</si>
  <si>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</si>
  <si>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</si>
  <si>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</si>
  <si>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</si>
  <si>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</si>
  <si>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</si>
  <si>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</si>
  <si>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</si>
  <si>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</si>
  <si>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</si>
  <si>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</si>
  <si>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</si>
  <si>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</si>
  <si>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</si>
  <si>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</si>
  <si>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</si>
  <si>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</si>
  <si>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</si>
  <si>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</si>
  <si>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</si>
  <si>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</si>
  <si>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</si>
  <si>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</si>
  <si>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</si>
  <si>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</si>
  <si>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</si>
  <si>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</si>
  <si>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</si>
  <si>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</si>
  <si>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</si>
  <si>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</si>
  <si>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</si>
  <si>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</si>
  <si>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</si>
  <si>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</si>
  <si>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</si>
  <si>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</si>
  <si>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</si>
  <si>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</si>
  <si>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</si>
  <si>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</si>
  <si>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</si>
  <si>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</si>
  <si>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</si>
  <si>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</si>
  <si>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</si>
  <si>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</si>
  <si>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</si>
  <si>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</si>
  <si>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</si>
  <si>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</si>
  <si>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</si>
  <si>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</si>
  <si>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</si>
  <si>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</si>
  <si>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</si>
  <si>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</si>
  <si>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</si>
  <si>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</si>
  <si>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</si>
  <si>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</si>
  <si>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</si>
  <si>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</si>
  <si>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</si>
  <si>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</si>
  <si>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</si>
  <si>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</si>
  <si>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</si>
  <si>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</si>
  <si>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</si>
  <si>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</si>
  <si>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</si>
  <si>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</si>
  <si>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</si>
  <si>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</si>
  <si>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</si>
  <si>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</si>
  <si>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</si>
  <si>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</si>
  <si>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</si>
  <si>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</si>
  <si>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</si>
  <si>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</si>
  <si>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</si>
  <si>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</si>
  <si>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</si>
  <si>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</si>
  <si>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</si>
  <si>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</si>
  <si>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</si>
  <si>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</si>
  <si>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</si>
  <si>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</si>
  <si>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</si>
  <si>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</si>
  <si>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</si>
  <si>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</si>
  <si>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</si>
  <si>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</si>
  <si>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</si>
  <si>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</si>
  <si>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</si>
  <si>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</si>
  <si>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</si>
  <si>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</si>
  <si>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</si>
  <si>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</si>
  <si>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</si>
  <si>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</si>
  <si>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</si>
  <si>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</si>
  <si>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</si>
  <si>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</si>
  <si>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</si>
  <si>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</si>
  <si>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</si>
  <si>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</si>
  <si>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</si>
  <si>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</si>
  <si>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</si>
  <si>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</si>
  <si>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</si>
  <si>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</si>
  <si>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</si>
  <si>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</si>
  <si>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</si>
  <si>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</si>
  <si>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</si>
  <si>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</si>
  <si>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</si>
  <si>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</si>
  <si>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</si>
  <si>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</si>
  <si>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</si>
  <si>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</si>
  <si>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</si>
  <si>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</si>
  <si>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</si>
  <si>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</si>
  <si>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</si>
  <si>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</si>
  <si>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</si>
  <si>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</si>
  <si>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</si>
  <si>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</si>
  <si>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</si>
  <si>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</si>
  <si>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</si>
  <si>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</si>
  <si>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</si>
  <si>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</si>
  <si>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</si>
  <si>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</si>
  <si>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</si>
  <si>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</si>
  <si>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</si>
  <si>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</si>
  <si>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</si>
  <si>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</si>
  <si>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</si>
  <si>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</si>
  <si>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</si>
  <si>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</si>
  <si>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</si>
  <si>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</si>
  <si>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</si>
  <si>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</si>
  <si>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</si>
  <si>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</si>
  <si>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</si>
  <si>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</si>
  <si>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</si>
  <si>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</si>
  <si>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</si>
  <si>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</si>
  <si>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</si>
  <si>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</si>
  <si>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</si>
  <si>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</si>
  <si>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</si>
  <si>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</si>
  <si>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</si>
  <si>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</si>
  <si>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</si>
  <si>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</si>
  <si>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</si>
  <si>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</si>
  <si>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</si>
  <si>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</si>
  <si>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</si>
  <si>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</si>
  <si>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</si>
  <si>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</si>
  <si>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</si>
  <si>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</si>
  <si>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</si>
  <si>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</si>
  <si>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</si>
  <si>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</si>
  <si>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</si>
  <si>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</si>
  <si>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</si>
  <si>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</si>
  <si>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</si>
  <si>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</si>
  <si>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</si>
  <si>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</si>
  <si>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</si>
  <si>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</si>
  <si>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</si>
  <si>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</si>
  <si>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</si>
  <si>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</si>
  <si>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</si>
  <si>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</si>
  <si>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</si>
  <si>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</si>
  <si>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</si>
  <si>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</si>
  <si>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</si>
  <si>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</si>
  <si>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</si>
  <si>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</si>
  <si>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</si>
  <si>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</si>
  <si>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</si>
  <si>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</si>
  <si>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</si>
  <si>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</si>
  <si>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</si>
  <si>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</si>
  <si>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</si>
  <si>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</si>
  <si>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</si>
  <si>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</si>
  <si>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</si>
  <si>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</si>
  <si>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</si>
  <si>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</si>
  <si>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</si>
  <si>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</si>
  <si>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</si>
  <si>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</si>
  <si>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</si>
  <si>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</si>
  <si>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</si>
  <si>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</si>
  <si>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</si>
  <si>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</si>
  <si>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</si>
  <si>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</si>
  <si>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</si>
  <si>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</si>
  <si>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</si>
  <si>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</si>
  <si>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</si>
  <si>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</si>
  <si>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</si>
  <si>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</si>
  <si>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</si>
  <si>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</si>
  <si>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</si>
  <si>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</si>
  <si>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</si>
  <si>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</si>
  <si>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</si>
  <si>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</si>
  <si>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</si>
  <si>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</si>
  <si>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</si>
  <si>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</si>
  <si>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</si>
  <si>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</si>
  <si>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</si>
  <si>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</si>
  <si>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</si>
  <si>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</si>
  <si>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</si>
  <si>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</si>
  <si>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</si>
  <si>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</si>
  <si>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</si>
  <si>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</si>
  <si>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</si>
  <si>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</si>
  <si>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</si>
  <si>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</si>
  <si>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</si>
  <si>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</si>
  <si>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</si>
  <si>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</si>
  <si>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</si>
  <si>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</si>
  <si>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</si>
  <si>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</si>
  <si>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</si>
  <si>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</si>
  <si>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</si>
  <si>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</si>
  <si>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</si>
  <si>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</si>
  <si>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</si>
  <si>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</si>
  <si>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</si>
  <si>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</si>
  <si>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</si>
  <si>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</si>
  <si>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</si>
  <si>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</si>
  <si>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</si>
  <si>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</si>
  <si>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</si>
  <si>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</si>
  <si>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</si>
  <si>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</si>
  <si>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</si>
  <si>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</si>
  <si>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</si>
  <si>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</si>
  <si>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</si>
  <si>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</si>
  <si>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</si>
  <si>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</si>
  <si>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</si>
  <si>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</si>
  <si>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</si>
  <si>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</si>
  <si>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</si>
  <si>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</si>
  <si>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</si>
  <si>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</si>
  <si>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</si>
  <si>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</si>
  <si>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</si>
  <si>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</si>
  <si>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</si>
  <si>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</si>
  <si>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</si>
  <si>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</si>
  <si>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</si>
  <si>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</si>
  <si>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</si>
  <si>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</si>
  <si>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</si>
  <si>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</si>
  <si>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</si>
  <si>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</si>
  <si>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</si>
  <si>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</si>
  <si>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</si>
  <si>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</si>
  <si>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</si>
  <si>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</si>
  <si>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</si>
  <si>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</si>
  <si>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</si>
  <si>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</si>
  <si>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</si>
  <si>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</si>
  <si>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</si>
  <si>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</si>
  <si>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</si>
  <si>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</si>
  <si>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</si>
  <si>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</si>
  <si>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</si>
  <si>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</si>
  <si>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</si>
  <si>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</si>
  <si>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</si>
  <si>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</si>
  <si>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</si>
  <si>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</si>
  <si>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</si>
  <si>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</si>
  <si>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</si>
  <si>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</si>
  <si>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</si>
  <si>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</si>
  <si>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</si>
  <si>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</si>
  <si>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</si>
  <si>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</si>
  <si>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</si>
  <si>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</si>
  <si>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</si>
  <si>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</si>
  <si>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</si>
  <si>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</si>
  <si>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</si>
  <si>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</si>
  <si>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</si>
  <si>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</si>
  <si>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</si>
  <si>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</si>
  <si>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</si>
  <si>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</si>
  <si>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</si>
  <si>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</si>
  <si>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</si>
  <si>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</si>
  <si>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</si>
  <si>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</si>
  <si>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</si>
  <si>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</si>
  <si>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</si>
  <si>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</si>
  <si>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</si>
  <si>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</si>
  <si>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</si>
  <si>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</si>
  <si>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</si>
  <si>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</si>
  <si>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</si>
  <si>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</si>
  <si>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</si>
  <si>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</si>
  <si>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</si>
  <si>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</si>
  <si>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</si>
  <si>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</si>
  <si>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</si>
  <si>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</si>
  <si>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</si>
  <si>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</si>
  <si>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</si>
  <si>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</si>
  <si>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</si>
  <si>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</si>
  <si>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</si>
  <si>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</si>
  <si>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</si>
  <si>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</si>
  <si>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</si>
  <si>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</si>
  <si>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</si>
  <si>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</si>
  <si>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</si>
  <si>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</si>
  <si>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</si>
  <si>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</si>
  <si>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</si>
  <si>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</si>
  <si>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</si>
  <si>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</si>
  <si>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</si>
  <si>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</si>
  <si>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</si>
  <si>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</si>
  <si>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</si>
  <si>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</si>
  <si>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</si>
  <si>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</si>
  <si>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</si>
  <si>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</si>
  <si>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</si>
  <si>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</si>
  <si>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</si>
  <si>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</si>
  <si>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</si>
  <si>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</si>
  <si>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</si>
  <si>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</si>
  <si>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</si>
  <si>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</si>
  <si>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</si>
  <si>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</si>
  <si>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</si>
  <si>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</si>
  <si>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</si>
  <si>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</si>
  <si>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</si>
  <si>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</si>
  <si>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</si>
  <si>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</si>
  <si>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</si>
  <si>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</si>
  <si>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</si>
  <si>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</si>
  <si>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</si>
  <si>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</si>
  <si>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</si>
  <si>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</si>
  <si>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</si>
  <si>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</si>
  <si>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</si>
  <si>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</si>
  <si>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</si>
  <si>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</si>
  <si>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</si>
  <si>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</si>
  <si>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</si>
  <si>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</si>
  <si>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</si>
  <si>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</si>
  <si>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</si>
  <si>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</si>
  <si>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</si>
  <si>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</si>
  <si>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</si>
  <si>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</si>
  <si>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</si>
  <si>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</si>
  <si>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</si>
  <si>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</si>
  <si>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</si>
  <si>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</si>
  <si>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</si>
  <si>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</si>
  <si>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</si>
  <si>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</si>
  <si>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</si>
  <si>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</si>
  <si>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</si>
  <si>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</si>
  <si>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</si>
  <si>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</si>
  <si>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</si>
  <si>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</si>
  <si>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</si>
  <si>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</si>
  <si>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</si>
  <si>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</si>
  <si>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</si>
  <si>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</si>
  <si>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</si>
  <si>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</si>
  <si>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</si>
  <si>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</si>
  <si>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</si>
  <si>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</si>
  <si>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</si>
  <si>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</si>
  <si>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</si>
  <si>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</si>
  <si>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</si>
  <si>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</si>
  <si>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</si>
  <si>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</si>
  <si>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</si>
  <si>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</si>
  <si>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</si>
  <si>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</si>
  <si>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</si>
  <si>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</si>
  <si>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</si>
  <si>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</si>
  <si>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</si>
  <si>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</si>
  <si>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</si>
  <si>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</si>
  <si>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</si>
  <si>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</si>
  <si>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</si>
  <si>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</si>
  <si>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</si>
  <si>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</si>
  <si>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</si>
  <si>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</si>
  <si>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</si>
  <si>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</si>
  <si>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</si>
  <si>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</si>
  <si>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</si>
  <si>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</si>
  <si>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</si>
  <si>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</si>
  <si>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</si>
  <si>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</si>
  <si>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</si>
  <si>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</si>
  <si>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</si>
  <si>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</si>
  <si>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</si>
  <si>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</si>
  <si>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</si>
  <si>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</si>
  <si>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</si>
  <si>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</si>
  <si>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</si>
  <si>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</si>
  <si>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</si>
  <si>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</si>
  <si>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</si>
  <si>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</si>
  <si>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</si>
  <si>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</si>
  <si>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</si>
  <si>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</si>
  <si>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</si>
  <si>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</si>
  <si>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</si>
  <si>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</si>
  <si>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</si>
  <si>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</si>
  <si>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</si>
  <si>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</si>
  <si>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</si>
  <si>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</si>
  <si>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</si>
  <si>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</si>
  <si>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</si>
  <si>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</si>
  <si>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</si>
  <si>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</si>
  <si>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</si>
  <si>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</si>
  <si>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</si>
  <si>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</si>
  <si>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</si>
  <si>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</si>
  <si>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</si>
  <si>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</si>
  <si>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</si>
  <si>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</si>
  <si>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</si>
  <si>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</si>
  <si>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</si>
  <si>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</si>
  <si>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</si>
  <si>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</si>
  <si>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</si>
  <si>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</si>
  <si>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</si>
  <si>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</si>
  <si>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</si>
  <si>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</si>
  <si>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</si>
  <si>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</si>
  <si>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</si>
  <si>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</si>
  <si>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</si>
  <si>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</si>
  <si>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</si>
  <si>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</si>
  <si>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</si>
  <si>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</si>
  <si>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</si>
  <si>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</si>
  <si>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</si>
  <si>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</si>
  <si>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</si>
  <si>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</si>
  <si>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</si>
  <si>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</si>
  <si>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</si>
  <si>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</si>
  <si>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</si>
  <si>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</si>
  <si>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</si>
  <si>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</si>
  <si>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</si>
  <si>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</si>
  <si>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</si>
  <si>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</si>
  <si>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</si>
  <si>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</si>
  <si>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</si>
  <si>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</si>
  <si>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</si>
  <si>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</si>
  <si>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</si>
  <si>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</si>
  <si>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</si>
  <si>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</si>
  <si>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</si>
  <si>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</si>
  <si>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</si>
  <si>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</si>
  <si>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</si>
  <si>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</si>
  <si>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</si>
  <si>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</si>
  <si>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</si>
  <si>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</si>
  <si>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</si>
  <si>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</si>
  <si>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</si>
  <si>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</si>
  <si>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</si>
  <si>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</si>
  <si>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</si>
  <si>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</si>
  <si>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</si>
  <si>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</si>
  <si>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</si>
  <si>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</si>
  <si>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</si>
  <si>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</si>
  <si>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</si>
  <si>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</si>
  <si>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</si>
  <si>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</si>
  <si>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</si>
  <si>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</si>
  <si>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</si>
  <si>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</si>
  <si>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</si>
  <si>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</si>
  <si>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</si>
  <si>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</si>
  <si>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</si>
  <si>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</si>
  <si>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</si>
  <si>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</si>
  <si>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</si>
  <si>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</si>
  <si>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</si>
  <si>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</si>
  <si>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</si>
  <si>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</si>
  <si>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</si>
  <si>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</si>
  <si>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</si>
  <si>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</si>
  <si>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</si>
  <si>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</si>
  <si>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</si>
  <si>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</si>
  <si>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</si>
  <si>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</si>
  <si>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</si>
  <si>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</si>
  <si>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</si>
  <si>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</si>
  <si>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</si>
  <si>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</si>
  <si>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</si>
  <si>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</si>
  <si>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</si>
  <si>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</si>
  <si>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</si>
  <si>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</si>
  <si>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</si>
  <si>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</si>
  <si>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</si>
  <si>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</si>
  <si>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</si>
  <si>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</si>
  <si>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</si>
  <si>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</si>
  <si>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</si>
  <si>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</si>
  <si>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</si>
  <si>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</si>
  <si>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</si>
  <si>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</si>
  <si>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</si>
  <si>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</si>
  <si>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</si>
  <si>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</si>
  <si>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</si>
  <si>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</si>
  <si>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</si>
  <si>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</si>
  <si>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</si>
  <si>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</si>
  <si>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</si>
  <si>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</si>
  <si>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</si>
  <si>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</si>
  <si>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</si>
  <si>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</si>
  <si>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</si>
  <si>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</si>
  <si>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</si>
  <si>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</si>
  <si>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</si>
  <si>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</si>
  <si>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</si>
  <si>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</si>
  <si>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</si>
  <si>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</si>
  <si>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</si>
  <si>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</si>
  <si>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</si>
  <si>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</si>
  <si>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</si>
  <si>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</si>
  <si>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</si>
  <si>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</si>
  <si>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</si>
  <si>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</si>
  <si>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</si>
  <si>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</si>
  <si>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</si>
  <si>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</si>
  <si>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</si>
  <si>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</si>
  <si>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</si>
  <si>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</si>
  <si>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</si>
  <si>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</si>
  <si>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</si>
  <si>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</si>
  <si>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</si>
  <si>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</si>
  <si>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</si>
  <si>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</si>
  <si>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</si>
  <si>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</si>
  <si>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</si>
  <si>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</si>
  <si>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</si>
  <si>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</si>
  <si>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</si>
  <si>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</si>
  <si>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</si>
  <si>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</si>
  <si>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</si>
  <si>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</si>
  <si>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</si>
  <si>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</si>
  <si>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</si>
  <si>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</si>
  <si>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</si>
  <si>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</si>
  <si>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</si>
  <si>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</si>
  <si>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</si>
  <si>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</si>
  <si>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</si>
  <si>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</si>
  <si>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</si>
  <si>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</si>
  <si>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</si>
  <si>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</si>
  <si>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</si>
  <si>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</si>
  <si>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</si>
  <si>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</si>
  <si>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</si>
  <si>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</si>
  <si>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</si>
  <si>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</si>
  <si>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</si>
  <si>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</si>
  <si>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</si>
  <si>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</si>
  <si>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</si>
  <si>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</si>
  <si>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</si>
  <si>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</si>
  <si>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</si>
  <si>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</si>
  <si>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</si>
  <si>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</si>
  <si>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</si>
  <si>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</si>
  <si>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</si>
  <si>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</si>
  <si>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</si>
  <si>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</si>
  <si>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</si>
  <si>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</si>
  <si>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</si>
  <si>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</si>
  <si>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</si>
  <si>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</si>
  <si>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</si>
  <si>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</si>
  <si>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</si>
  <si>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</si>
  <si>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</si>
  <si>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</si>
  <si>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</si>
  <si>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</si>
  <si>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</si>
  <si>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</si>
  <si>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</si>
  <si>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</si>
  <si>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</si>
  <si>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</si>
  <si>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</si>
  <si>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</si>
  <si>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</si>
  <si>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</si>
  <si>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</si>
  <si>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</si>
  <si>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</si>
  <si>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</si>
  <si>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</si>
  <si>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</si>
  <si>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</si>
  <si>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</si>
  <si>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</si>
  <si>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</si>
  <si>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</si>
  <si>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</si>
  <si>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</si>
  <si>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</si>
  <si>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</si>
  <si>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</si>
  <si>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</si>
  <si>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</si>
  <si>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</si>
  <si>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</si>
  <si>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</si>
  <si>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</si>
  <si>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</si>
  <si>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</si>
  <si>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</si>
  <si>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</si>
  <si>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</si>
  <si>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</si>
  <si>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</si>
  <si>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</si>
  <si>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</si>
  <si>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</si>
  <si>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</si>
  <si>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</si>
  <si>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</si>
  <si>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</si>
  <si>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</si>
  <si>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</si>
  <si>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</si>
  <si>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</si>
  <si>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</si>
  <si>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</si>
  <si>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</si>
  <si>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</si>
  <si>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</si>
  <si>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</si>
  <si>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</si>
  <si>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</si>
  <si>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</si>
  <si>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</si>
  <si>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</si>
  <si>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</si>
  <si>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</si>
  <si>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</si>
  <si>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</si>
  <si>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</si>
  <si>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</si>
  <si>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</si>
  <si>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</si>
  <si>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</si>
  <si>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</si>
  <si>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</si>
  <si>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</si>
  <si>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</si>
  <si>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</si>
  <si>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</si>
  <si>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</si>
  <si>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</si>
  <si>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</si>
  <si>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</si>
  <si>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</si>
  <si>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</si>
  <si>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</si>
  <si>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</si>
  <si>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</si>
  <si>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</si>
  <si>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</si>
  <si>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</si>
  <si>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</si>
  <si>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</si>
  <si>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</si>
  <si>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</si>
  <si>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</si>
  <si>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</si>
  <si>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</si>
  <si>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</si>
  <si>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</si>
  <si>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</si>
  <si>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</si>
  <si>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</si>
  <si>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</si>
  <si>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</si>
  <si>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</si>
  <si>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</si>
  <si>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</si>
  <si>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</si>
  <si>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</si>
  <si>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</si>
  <si>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</si>
  <si>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</si>
  <si>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</si>
  <si>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</si>
  <si>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</si>
  <si>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</si>
  <si>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</si>
  <si>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</si>
  <si>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</si>
  <si>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</si>
  <si>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</si>
  <si>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</si>
  <si>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</si>
  <si>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</si>
  <si>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</si>
  <si>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</si>
  <si>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</si>
  <si>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</si>
  <si>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</si>
  <si>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</si>
  <si>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</si>
  <si>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</si>
  <si>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</si>
  <si>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</si>
  <si>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</si>
  <si>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</si>
  <si>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</si>
  <si>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</si>
  <si>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</si>
  <si>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</si>
  <si>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</si>
  <si>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</si>
  <si>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</si>
  <si>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</si>
  <si>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</si>
  <si>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</si>
  <si>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</si>
  <si>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</si>
  <si>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</si>
  <si>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</si>
  <si>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</si>
  <si>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</si>
  <si>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</si>
  <si>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</si>
  <si>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</si>
  <si>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</si>
  <si>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</si>
  <si>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</si>
  <si>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</si>
  <si>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</si>
  <si>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</si>
  <si>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</si>
  <si>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</si>
  <si>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</si>
  <si>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</si>
  <si>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</si>
  <si>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</si>
  <si>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</si>
  <si>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</si>
  <si>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</si>
  <si>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</si>
  <si>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</si>
  <si>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</si>
  <si>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</si>
  <si>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</si>
  <si>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</si>
  <si>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</si>
  <si>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</si>
  <si>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</si>
  <si>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</si>
  <si>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</si>
  <si>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</si>
  <si>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</si>
  <si>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</si>
  <si>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</si>
  <si>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</si>
  <si>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</si>
  <si>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</si>
  <si>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</si>
  <si>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</si>
  <si>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</si>
  <si>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</si>
  <si>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</si>
  <si>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</si>
  <si>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</si>
  <si>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</si>
  <si>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</si>
  <si>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</si>
  <si>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</si>
  <si>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</si>
  <si>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</si>
  <si>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</si>
  <si>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</si>
  <si>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</si>
  <si>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</si>
  <si>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</si>
  <si>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</si>
  <si>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</si>
  <si>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</si>
  <si>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</si>
  <si>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</si>
  <si>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</si>
  <si>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</si>
  <si>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</si>
  <si>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</si>
  <si>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</si>
  <si>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</si>
  <si>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</si>
  <si>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</si>
  <si>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</si>
  <si>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</si>
  <si>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</si>
  <si>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</si>
  <si>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</si>
  <si>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</si>
  <si>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</si>
  <si>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</si>
  <si>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</si>
  <si>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</si>
  <si>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</si>
  <si>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</si>
  <si>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</si>
  <si>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</si>
  <si>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</si>
  <si>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</si>
  <si>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</si>
  <si>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</si>
  <si>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</si>
  <si>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</si>
  <si>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</si>
  <si>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</si>
  <si>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</si>
  <si>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</si>
  <si>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</si>
  <si>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</si>
  <si>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</si>
  <si>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</si>
  <si>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</si>
  <si>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</si>
  <si>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</si>
  <si>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</si>
  <si>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</si>
  <si>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</si>
  <si>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</si>
  <si>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</si>
  <si>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</si>
  <si>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</si>
  <si>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</si>
  <si>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</si>
  <si>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</si>
  <si>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</si>
  <si>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</si>
  <si>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</si>
  <si>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</si>
  <si>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</si>
  <si>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</si>
  <si>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</si>
  <si>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</si>
  <si>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</si>
  <si>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</si>
  <si>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</si>
  <si>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</si>
  <si>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</si>
  <si>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</si>
  <si>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</si>
  <si>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</si>
  <si>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</si>
  <si>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</si>
  <si>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</si>
  <si>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</si>
  <si>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</si>
  <si>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</si>
  <si>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</si>
  <si>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</si>
  <si>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</si>
  <si>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</si>
  <si>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</si>
  <si>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</si>
  <si>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</si>
  <si>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</si>
  <si>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</si>
  <si>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</si>
  <si>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</si>
  <si>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</si>
  <si>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</si>
  <si>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</si>
  <si>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</si>
  <si>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</si>
  <si>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</si>
  <si>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</si>
  <si>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</si>
  <si>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</si>
  <si>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</si>
  <si>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</si>
  <si>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</si>
  <si>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</si>
  <si>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</si>
  <si>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</si>
  <si>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</si>
  <si>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</si>
  <si>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</si>
  <si>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</si>
  <si>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</si>
  <si>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</si>
  <si>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</si>
  <si>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</si>
  <si>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</si>
  <si>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</si>
  <si>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</si>
  <si>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</si>
  <si>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</si>
  <si>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</si>
  <si>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</si>
  <si>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</si>
  <si>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</si>
  <si>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</si>
  <si>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</si>
  <si>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</si>
  <si>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</si>
  <si>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</si>
  <si>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</si>
  <si>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</si>
  <si>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</si>
  <si>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</si>
  <si>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</si>
  <si>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</si>
  <si>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</si>
  <si>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</si>
  <si>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</si>
  <si>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</si>
  <si>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</si>
  <si>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</si>
  <si>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</si>
  <si>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</si>
  <si>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</si>
  <si>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</si>
  <si>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</si>
  <si>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</si>
  <si>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</si>
  <si>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</si>
  <si>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</si>
  <si>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</si>
  <si>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</si>
  <si>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</si>
  <si>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</si>
  <si>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</si>
  <si>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</si>
  <si>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</si>
  <si>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</si>
  <si>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</si>
  <si>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</si>
  <si>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</si>
  <si>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</si>
  <si>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</si>
  <si>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</si>
  <si>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</si>
  <si>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</si>
  <si>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</si>
  <si>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</si>
  <si>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</si>
  <si>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</si>
  <si>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</si>
  <si>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</si>
  <si>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</si>
  <si>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</si>
  <si>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</si>
  <si>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</si>
  <si>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</si>
  <si>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</si>
  <si>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</si>
  <si>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</si>
  <si>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</si>
  <si>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</si>
  <si>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</si>
  <si>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</si>
  <si>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</si>
  <si>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</si>
  <si>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</si>
  <si>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</si>
  <si>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</si>
  <si>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</si>
  <si>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</si>
  <si>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</si>
  <si>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</si>
  <si>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</si>
  <si>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</si>
  <si>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</si>
  <si>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</si>
  <si>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</si>
  <si>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</si>
  <si>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</si>
  <si>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</si>
  <si>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</si>
  <si>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</si>
  <si>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</si>
  <si>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</si>
  <si>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</si>
  <si>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</si>
  <si>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</si>
  <si>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</si>
  <si>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</si>
  <si>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</si>
  <si>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</si>
  <si>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</si>
  <si>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</si>
  <si>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</si>
  <si>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</si>
  <si>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</si>
  <si>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</si>
  <si>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</si>
  <si>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</si>
  <si>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</si>
  <si>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</si>
  <si>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</si>
  <si>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</si>
  <si>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</si>
  <si>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</si>
  <si>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</si>
  <si>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</si>
  <si>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</si>
  <si>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</si>
  <si>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</si>
  <si>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</si>
  <si>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</si>
  <si>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</si>
  <si>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</si>
  <si>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</si>
  <si>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</si>
  <si>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</si>
  <si>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</si>
  <si>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</si>
  <si>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</si>
  <si>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</si>
  <si>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</si>
  <si>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</si>
  <si>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</si>
  <si>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</si>
  <si>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</si>
  <si>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</si>
  <si>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</si>
  <si>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</si>
  <si>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</si>
  <si>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</si>
  <si>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</si>
  <si>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</si>
  <si>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</si>
  <si>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</si>
  <si>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</si>
  <si>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</si>
  <si>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</si>
  <si>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</si>
  <si>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</si>
  <si>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</si>
  <si>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</si>
  <si>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</si>
  <si>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</si>
  <si>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</si>
  <si>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</si>
  <si>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</si>
  <si>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</si>
  <si>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</si>
  <si>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</si>
  <si>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</si>
  <si>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</si>
  <si>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</si>
  <si>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</si>
  <si>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</si>
  <si>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</si>
  <si>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</si>
  <si>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</si>
  <si>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</si>
  <si>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</si>
  <si>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</si>
  <si>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</si>
  <si>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</si>
  <si>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</si>
  <si>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</si>
  <si>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</si>
  <si>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</si>
  <si>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</si>
  <si>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</si>
  <si>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</si>
  <si>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</si>
  <si>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</si>
  <si>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</si>
  <si>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</si>
  <si>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</si>
  <si>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</si>
  <si>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</si>
  <si>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</si>
  <si>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</si>
  <si>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</si>
  <si>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</si>
  <si>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</si>
  <si>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</si>
  <si>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</si>
  <si>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</si>
  <si>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</si>
  <si>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</si>
  <si>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</si>
  <si>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</si>
  <si>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</si>
  <si>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</si>
  <si>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</si>
  <si>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</si>
  <si>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</si>
  <si>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</si>
  <si>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</si>
  <si>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</si>
  <si>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</si>
  <si>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</si>
  <si>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</si>
  <si>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</si>
  <si>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</si>
  <si>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</si>
  <si>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</si>
  <si>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</si>
  <si>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</si>
  <si>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</si>
  <si>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</si>
  <si>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</si>
  <si>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</si>
  <si>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</si>
  <si>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</si>
  <si>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</si>
  <si>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</si>
  <si>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</si>
  <si>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</si>
  <si>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</si>
  <si>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</si>
  <si>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</si>
  <si>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</si>
  <si>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</si>
  <si>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</si>
  <si>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</si>
  <si>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</si>
  <si>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</si>
  <si>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</si>
  <si>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</si>
  <si>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</si>
  <si>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</si>
  <si>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</si>
  <si>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</si>
  <si>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</si>
  <si>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</si>
  <si>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</si>
  <si>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</si>
  <si>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</si>
  <si>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</si>
  <si>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</si>
  <si>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</si>
  <si>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</si>
  <si>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</si>
  <si>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</si>
  <si>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</si>
  <si>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</si>
  <si>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</si>
  <si>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</si>
  <si>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</si>
  <si>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</si>
  <si>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</si>
  <si>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</si>
  <si>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</si>
  <si>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</si>
  <si>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</si>
  <si>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</si>
  <si>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</si>
  <si>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</si>
  <si>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</si>
  <si>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</si>
  <si>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</si>
  <si>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</si>
  <si>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</si>
  <si>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</si>
  <si>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</si>
  <si>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</si>
  <si>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</si>
  <si>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</si>
  <si>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</si>
  <si>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</si>
  <si>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</si>
  <si>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</si>
  <si>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</si>
  <si>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</si>
  <si>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</si>
  <si>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</si>
  <si>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</si>
  <si>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</si>
  <si>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</si>
  <si>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</si>
  <si>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</si>
  <si>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</si>
  <si>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</si>
  <si>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</si>
  <si>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</si>
  <si>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</si>
  <si>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</si>
  <si>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</si>
  <si>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</si>
  <si>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</si>
  <si>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</si>
  <si>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</si>
  <si>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</si>
  <si>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</si>
  <si>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</si>
  <si>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</si>
  <si>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</si>
  <si>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</si>
  <si>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</si>
  <si>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</si>
  <si>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</si>
  <si>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</si>
  <si>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</si>
  <si>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</si>
  <si>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</si>
  <si>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</si>
  <si>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</si>
  <si>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</si>
  <si>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</si>
  <si>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</si>
  <si>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</si>
  <si>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</si>
  <si>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</si>
  <si>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</si>
  <si>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</si>
  <si>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</si>
  <si>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</si>
  <si>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</si>
  <si>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</si>
  <si>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</si>
  <si>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</si>
  <si>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</si>
  <si>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</si>
  <si>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</si>
  <si>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</si>
  <si>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</si>
  <si>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</si>
  <si>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</si>
  <si>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</si>
  <si>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</si>
  <si>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</si>
  <si>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</si>
  <si>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</si>
  <si>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</si>
  <si>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</si>
  <si>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</si>
  <si>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</si>
  <si>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</si>
  <si>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</si>
  <si>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</si>
  <si>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</si>
  <si>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</si>
  <si>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</si>
  <si>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</si>
  <si>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</si>
  <si>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</si>
  <si>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</si>
  <si>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</si>
  <si>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</si>
  <si>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</si>
  <si>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</si>
  <si>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</si>
  <si>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</si>
  <si>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</si>
  <si>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</si>
  <si>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</si>
  <si>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</si>
  <si>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</si>
  <si>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</si>
  <si>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</si>
  <si>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</si>
  <si>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</si>
  <si>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</si>
  <si>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</si>
  <si>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</si>
  <si>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</si>
  <si>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</si>
  <si>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</si>
  <si>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</si>
  <si>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</si>
  <si>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</si>
  <si>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</si>
  <si>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</si>
  <si>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</si>
  <si>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</si>
  <si>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</si>
  <si>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</si>
  <si>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</si>
  <si>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</si>
  <si>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</si>
  <si>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</si>
  <si>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</si>
  <si>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</si>
  <si>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</si>
  <si>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</si>
  <si>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</si>
  <si>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</si>
  <si>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</si>
  <si>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</si>
  <si>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</si>
  <si>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</si>
  <si>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</si>
  <si>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</si>
  <si>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</si>
  <si>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</si>
  <si>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</si>
  <si>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</si>
  <si>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</si>
  <si>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</si>
  <si>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</si>
  <si>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</si>
  <si>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</si>
  <si>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</si>
  <si>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</si>
  <si>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</si>
  <si>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</si>
  <si>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</si>
  <si>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</si>
  <si>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</si>
  <si>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</si>
  <si>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</si>
  <si>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</si>
  <si>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</si>
  <si>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</si>
  <si>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</si>
  <si>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</si>
  <si>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</si>
  <si>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</si>
  <si>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</si>
  <si>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</si>
  <si>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</si>
  <si>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</si>
  <si>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</si>
  <si>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</si>
  <si>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</si>
  <si>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</si>
  <si>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</si>
  <si>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</si>
  <si>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</si>
  <si>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</si>
  <si>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</si>
  <si>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</si>
  <si>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</si>
  <si>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</si>
  <si>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</si>
  <si>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</si>
  <si>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</si>
  <si>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</si>
  <si>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</si>
  <si>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</si>
  <si>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</si>
  <si>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</si>
  <si>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</si>
  <si>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</si>
  <si>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</si>
  <si>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</si>
  <si>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</si>
  <si>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</si>
  <si>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</si>
  <si>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</si>
  <si>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</si>
  <si>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</si>
  <si>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</si>
  <si>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</si>
  <si>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</si>
  <si>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</si>
  <si>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</si>
  <si>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</si>
  <si>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</si>
  <si>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</si>
  <si>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</si>
  <si>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</si>
  <si>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</si>
  <si>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</si>
  <si>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</si>
  <si>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</si>
  <si>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</si>
  <si>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</si>
  <si>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</si>
  <si>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</si>
  <si>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</si>
  <si>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</si>
  <si>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</si>
  <si>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</si>
  <si>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</si>
  <si>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</si>
  <si>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</si>
  <si>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</si>
  <si>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</si>
  <si>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</si>
  <si>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</si>
  <si>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</si>
  <si>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</si>
  <si>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</si>
  <si>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</si>
  <si>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</si>
  <si>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</si>
  <si>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</si>
  <si>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</si>
  <si>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</si>
  <si>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</si>
  <si>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</si>
  <si>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</si>
  <si>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</si>
  <si>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</si>
  <si>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</si>
  <si>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</si>
  <si>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</si>
  <si>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</si>
  <si>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</si>
  <si>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</si>
  <si>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</si>
  <si>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</si>
  <si>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</si>
  <si>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</si>
  <si>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</si>
  <si>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</si>
  <si>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</si>
  <si>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</si>
  <si>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</si>
  <si>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</si>
  <si>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</si>
  <si>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</si>
  <si>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</si>
  <si>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</si>
  <si>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</si>
  <si>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</si>
  <si>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</si>
  <si>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</si>
  <si>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</si>
  <si>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</si>
  <si>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</si>
  <si>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</si>
  <si>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</si>
  <si>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</si>
  <si>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</si>
  <si>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</si>
  <si>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</si>
  <si>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</si>
  <si>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</si>
  <si>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</si>
  <si>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</si>
  <si>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</si>
  <si>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</si>
  <si>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</si>
  <si>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</si>
  <si>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</si>
  <si>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</si>
  <si>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</si>
  <si>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</si>
  <si>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</si>
  <si>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</si>
  <si>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</si>
  <si>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</si>
  <si>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</si>
  <si>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</si>
  <si>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</si>
  <si>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</si>
  <si>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</si>
  <si>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</si>
  <si>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</si>
  <si>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</si>
  <si>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</si>
  <si>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</si>
  <si>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</si>
  <si>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</si>
  <si>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</si>
  <si>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</si>
  <si>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</si>
  <si>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</si>
  <si>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</si>
  <si>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</si>
  <si>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</si>
  <si>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</si>
  <si>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</si>
  <si>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</si>
  <si>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</si>
  <si>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</si>
  <si>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</si>
  <si>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</si>
  <si>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</si>
  <si>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</si>
  <si>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</si>
  <si>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</si>
  <si>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</si>
  <si>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</si>
  <si>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</si>
  <si>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</si>
  <si>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</si>
  <si>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</si>
  <si>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</si>
  <si>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</si>
  <si>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</si>
  <si>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</si>
  <si>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</si>
  <si>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</si>
  <si>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</si>
  <si>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</si>
  <si>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</si>
  <si>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</si>
  <si>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</si>
  <si>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</si>
  <si>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</si>
  <si>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</si>
  <si>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</si>
  <si>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</si>
  <si>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</si>
  <si>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</si>
  <si>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</si>
  <si>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</si>
  <si>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</si>
  <si>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</si>
  <si>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</si>
  <si>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</si>
  <si>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</si>
  <si>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</si>
  <si>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</si>
  <si>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</si>
  <si>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</si>
  <si>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</si>
  <si>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</si>
  <si>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</si>
  <si>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</si>
  <si>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</si>
  <si>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</si>
  <si>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</si>
  <si>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</si>
  <si>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</si>
  <si>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</si>
  <si>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</si>
  <si>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</si>
  <si>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</si>
  <si>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</si>
  <si>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</si>
  <si>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</si>
  <si>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</si>
  <si>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</si>
  <si>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</si>
  <si>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</si>
  <si>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</si>
  <si>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</si>
  <si>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</si>
  <si>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</si>
  <si>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</si>
  <si>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</si>
  <si>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</si>
  <si>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</si>
  <si>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</si>
  <si>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</si>
  <si>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</si>
  <si>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</si>
  <si>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</si>
  <si>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</si>
  <si>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</si>
  <si>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</si>
  <si>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</si>
  <si>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</si>
  <si>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</si>
  <si>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</si>
  <si>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</si>
  <si>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</si>
  <si>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</si>
  <si>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</si>
  <si>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</si>
  <si>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</si>
  <si>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</si>
  <si>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</si>
  <si>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</si>
  <si>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</si>
  <si>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</si>
  <si>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</si>
  <si>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</si>
  <si>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</si>
  <si>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</si>
  <si>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</si>
  <si>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</si>
  <si>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</si>
  <si>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</si>
  <si>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</si>
  <si>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</si>
  <si>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</si>
  <si>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</si>
  <si>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</si>
  <si>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</si>
  <si>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</si>
  <si>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</si>
  <si>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</si>
  <si>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</si>
  <si>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</si>
  <si>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</si>
  <si>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</si>
  <si>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</si>
  <si>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</si>
  <si>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</si>
  <si>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</si>
  <si>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</si>
  <si>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</si>
  <si>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</si>
  <si>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</si>
  <si>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</si>
  <si>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</si>
  <si>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</si>
  <si>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</si>
  <si>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</si>
  <si>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</si>
  <si>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</si>
  <si>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</si>
  <si>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</si>
  <si>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</si>
  <si>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</si>
  <si>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</si>
  <si>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</si>
  <si>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</si>
  <si>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</si>
  <si>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</si>
  <si>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</si>
  <si>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</si>
  <si>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</si>
  <si>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</si>
  <si>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</si>
  <si>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</si>
  <si>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</si>
  <si>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</si>
  <si>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</si>
  <si>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</si>
  <si>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</si>
  <si>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</si>
  <si>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</si>
  <si>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</si>
  <si>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</si>
  <si>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</si>
  <si>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</si>
  <si>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</si>
  <si>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</si>
  <si>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</si>
  <si>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</si>
  <si>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</si>
  <si>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</si>
  <si>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</si>
  <si>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</si>
  <si>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</si>
  <si>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</si>
  <si>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</si>
  <si>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</si>
  <si>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</si>
  <si>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</si>
  <si>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</si>
  <si>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</si>
  <si>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</si>
  <si>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</si>
  <si>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</si>
  <si>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</si>
  <si>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</si>
  <si>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</si>
  <si>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</si>
  <si>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</si>
  <si>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</si>
  <si>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</si>
  <si>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</si>
  <si>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</si>
  <si>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</si>
  <si>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</si>
  <si>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</si>
  <si>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</si>
  <si>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</si>
  <si>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</si>
  <si>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</si>
  <si>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</si>
  <si>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</si>
  <si>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</si>
  <si>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</si>
  <si>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</si>
  <si>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</si>
  <si>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</si>
  <si>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</si>
  <si>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</si>
  <si>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</si>
  <si>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</si>
  <si>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</si>
  <si>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</si>
  <si>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</si>
  <si>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</si>
  <si>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</si>
  <si>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</si>
  <si>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</si>
  <si>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</si>
  <si>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</si>
  <si>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</si>
  <si>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</si>
  <si>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</si>
  <si>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</si>
  <si>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</si>
  <si>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</si>
  <si>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</si>
  <si>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</si>
  <si>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</si>
  <si>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</si>
  <si>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</si>
  <si>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</si>
  <si>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</si>
  <si>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</si>
  <si>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</si>
  <si>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</si>
  <si>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</si>
  <si>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</si>
  <si>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</si>
  <si>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</si>
  <si>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</si>
  <si>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</si>
  <si>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</si>
  <si>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</si>
  <si>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</si>
  <si>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</si>
  <si>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</si>
  <si>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</si>
  <si>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</si>
  <si>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</si>
  <si>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</si>
  <si>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</si>
  <si>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</si>
  <si>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</si>
  <si>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</si>
  <si>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</si>
  <si>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</si>
  <si>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</si>
  <si>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</si>
  <si>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</si>
  <si>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</si>
  <si>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</si>
  <si>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</si>
  <si>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</si>
  <si>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</si>
  <si>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</si>
  <si>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</si>
  <si>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</si>
  <si>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</si>
  <si>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</si>
  <si>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</si>
  <si>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</si>
  <si>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</si>
  <si>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</si>
  <si>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</si>
  <si>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</si>
  <si>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</si>
  <si>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</si>
  <si>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</si>
  <si>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</si>
  <si>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</si>
  <si>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</si>
  <si>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</si>
  <si>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</si>
  <si>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</si>
  <si>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</si>
  <si>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</si>
  <si>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</si>
  <si>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</si>
  <si>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</si>
  <si>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</si>
  <si>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</si>
  <si>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</si>
  <si>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</si>
  <si>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</si>
  <si>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</si>
  <si>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</si>
  <si>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</si>
  <si>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</si>
  <si>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</si>
  <si>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</si>
  <si>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</si>
  <si>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</si>
  <si>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</si>
  <si>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</si>
  <si>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</si>
  <si>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</si>
  <si>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</si>
  <si>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</si>
  <si>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</si>
  <si>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</si>
  <si>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</si>
  <si>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</si>
  <si>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</si>
  <si>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</si>
  <si>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</si>
  <si>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</si>
  <si>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</si>
  <si>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</si>
  <si>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</si>
  <si>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</si>
  <si>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</si>
  <si>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</si>
  <si>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</si>
  <si>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</si>
  <si>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</si>
  <si>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</si>
  <si>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</si>
  <si>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</si>
  <si>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</si>
  <si>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</si>
  <si>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</si>
  <si>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</si>
  <si>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</si>
  <si>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</si>
  <si>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</si>
  <si>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</si>
  <si>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</si>
  <si>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</si>
  <si>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</si>
  <si>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</si>
  <si>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</si>
  <si>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</si>
  <si>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</si>
  <si>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</si>
  <si>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</si>
  <si>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</si>
  <si>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</si>
  <si>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</si>
  <si>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</si>
  <si>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</si>
  <si>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</si>
  <si>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</si>
  <si>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</si>
  <si>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</si>
  <si>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</si>
  <si>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</si>
  <si>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</si>
  <si>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</si>
  <si>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</si>
  <si>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</si>
  <si>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</si>
  <si>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</si>
  <si>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</si>
  <si>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</si>
  <si>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</si>
  <si>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</si>
  <si>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</si>
  <si>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</si>
  <si>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</si>
  <si>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</si>
  <si>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</si>
  <si>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</si>
  <si>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</si>
  <si>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</si>
  <si>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</si>
  <si>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</si>
  <si>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</si>
  <si>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</si>
  <si>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</si>
  <si>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</si>
  <si>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</si>
  <si>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</si>
  <si>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</si>
  <si>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</si>
  <si>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</si>
  <si>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</si>
  <si>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</si>
  <si>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</si>
  <si>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</si>
  <si>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</si>
  <si>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</si>
  <si>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</si>
  <si>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</si>
  <si>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</si>
  <si>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</si>
  <si>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</si>
  <si>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</si>
  <si>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</si>
  <si>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</si>
  <si>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</si>
  <si>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</si>
  <si>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</si>
  <si>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</si>
  <si>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</si>
  <si>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</si>
  <si>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</si>
  <si>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</si>
  <si>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</si>
  <si>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</si>
  <si>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</si>
  <si>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</si>
  <si>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</si>
  <si>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</si>
  <si>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</si>
  <si>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</si>
  <si>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</si>
  <si>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</si>
  <si>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</si>
  <si>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</si>
  <si>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</si>
  <si>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</si>
  <si>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</si>
  <si>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</si>
  <si>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</si>
  <si>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</si>
  <si>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</si>
  <si>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</si>
  <si>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</si>
  <si>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</si>
  <si>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</si>
  <si>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</si>
  <si>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</si>
  <si>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</si>
  <si>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</si>
  <si>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</si>
  <si>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</si>
  <si>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</si>
  <si>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</si>
  <si>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</si>
  <si>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</si>
  <si>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</si>
  <si>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</si>
  <si>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</si>
  <si>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</si>
  <si>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</si>
  <si>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</si>
  <si>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</si>
  <si>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</si>
  <si>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</si>
  <si>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</si>
  <si>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</si>
  <si>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</si>
  <si>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</si>
  <si>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</si>
  <si>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</si>
  <si>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</si>
  <si>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</si>
  <si>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</si>
  <si>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</si>
  <si>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</si>
  <si>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</si>
  <si>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</si>
  <si>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</si>
  <si>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</si>
  <si>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</si>
  <si>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</si>
  <si>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</si>
  <si>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</si>
  <si>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</si>
  <si>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</si>
  <si>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</si>
  <si>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</si>
  <si>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</si>
  <si>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</si>
  <si>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</si>
  <si>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</si>
  <si>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</si>
  <si>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</si>
  <si>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</si>
  <si>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</si>
  <si>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</si>
  <si>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</si>
  <si>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</si>
  <si>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</si>
  <si>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</si>
  <si>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</si>
  <si>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</si>
  <si>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</si>
  <si>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</si>
  <si>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</si>
  <si>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</si>
  <si>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</si>
  <si>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</si>
  <si>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</si>
  <si>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</si>
  <si>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</si>
  <si>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</si>
  <si>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</si>
  <si>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</si>
  <si>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</si>
  <si>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</si>
  <si>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</si>
  <si>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</si>
  <si>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</si>
  <si>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</si>
  <si>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</si>
  <si>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</si>
  <si>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</si>
  <si>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</si>
  <si>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</si>
  <si>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</si>
  <si>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</si>
  <si>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</si>
  <si>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</si>
  <si>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</si>
  <si>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</si>
  <si>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</si>
  <si>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</si>
  <si>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</si>
  <si>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</si>
  <si>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</si>
  <si>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</si>
  <si>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</si>
  <si>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</si>
  <si>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</si>
  <si>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</si>
  <si>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</si>
  <si>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</si>
  <si>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</si>
  <si>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</si>
  <si>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</si>
  <si>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</si>
  <si>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</si>
  <si>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</si>
  <si>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</si>
  <si>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</si>
  <si>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</si>
  <si>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</si>
  <si>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</si>
  <si>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</si>
  <si>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</si>
  <si>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</si>
  <si>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</si>
  <si>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</si>
  <si>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</si>
  <si>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</si>
  <si>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</si>
  <si>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</si>
  <si>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</si>
  <si>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</si>
  <si>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</si>
  <si>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</si>
  <si>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</si>
  <si>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</si>
  <si>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</si>
  <si>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</si>
  <si>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</si>
  <si>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</si>
  <si>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</si>
  <si>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</si>
  <si>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</si>
  <si>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</si>
  <si>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</si>
  <si>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</si>
  <si>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</si>
  <si>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</si>
  <si>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</si>
  <si>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</si>
  <si>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</si>
  <si>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</si>
  <si>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</si>
  <si>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</si>
  <si>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</si>
  <si>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</si>
  <si>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</si>
  <si>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</si>
  <si>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</si>
  <si>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</si>
  <si>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</si>
  <si>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</si>
  <si>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</si>
  <si>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</si>
  <si>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</si>
  <si>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</si>
  <si>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</si>
  <si>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</si>
  <si>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</si>
  <si>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</si>
  <si>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</si>
  <si>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</si>
  <si>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</si>
  <si>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</si>
  <si>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</si>
  <si>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</si>
  <si>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</si>
  <si>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</si>
  <si>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</si>
  <si>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</si>
  <si>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</si>
  <si>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</si>
  <si>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</si>
  <si>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</si>
  <si>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</si>
  <si>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</si>
  <si>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</si>
  <si>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</si>
  <si>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</si>
  <si>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</si>
  <si>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</si>
  <si>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</si>
  <si>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</si>
  <si>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</si>
  <si>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</si>
  <si>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</si>
  <si>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</si>
  <si>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</si>
  <si>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</si>
  <si>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</si>
  <si>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</si>
  <si>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</si>
  <si>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</si>
  <si>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</si>
  <si>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</si>
  <si>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</si>
  <si>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</si>
  <si>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</si>
  <si>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</si>
  <si>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</si>
  <si>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</si>
  <si>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</si>
  <si>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</si>
  <si>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</si>
  <si>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</si>
  <si>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</si>
  <si>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</si>
  <si>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</si>
  <si>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</si>
  <si>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</si>
  <si>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</si>
  <si>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</si>
  <si>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</si>
  <si>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</si>
  <si>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</si>
  <si>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</si>
  <si>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</si>
  <si>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</si>
  <si>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</si>
  <si>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</si>
  <si>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</si>
  <si>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</si>
  <si>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</si>
  <si>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</si>
  <si>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</si>
  <si>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</si>
  <si>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</si>
  <si>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</si>
  <si>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</si>
  <si>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</si>
  <si>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</si>
  <si>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</si>
  <si>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</si>
  <si>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</si>
  <si>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</si>
  <si>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</si>
  <si>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</si>
  <si>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</si>
  <si>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</si>
  <si>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</si>
  <si>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</si>
  <si>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</si>
  <si>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</si>
  <si>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</si>
  <si>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</si>
  <si>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</si>
  <si>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</si>
  <si>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</si>
  <si>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</si>
  <si>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</si>
  <si>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</si>
  <si>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</si>
  <si>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</si>
  <si>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</si>
  <si>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</si>
  <si>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</si>
  <si>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</si>
  <si>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</si>
  <si>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</si>
  <si>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</si>
  <si>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</si>
  <si>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</si>
  <si>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</si>
  <si>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</si>
  <si>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</si>
  <si>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</si>
  <si>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</si>
  <si>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</si>
  <si>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</si>
  <si>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</si>
  <si>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</si>
  <si>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</si>
  <si>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</si>
  <si>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</si>
  <si>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</si>
  <si>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</si>
  <si>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</si>
  <si>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</si>
  <si>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</si>
  <si>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</si>
  <si>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</si>
  <si>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</si>
  <si>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</si>
  <si>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</si>
  <si>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</si>
  <si>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</si>
  <si>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</si>
  <si>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</si>
  <si>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</si>
  <si>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</si>
  <si>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</si>
  <si>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</si>
  <si>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</si>
  <si>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</si>
  <si>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</si>
  <si>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</si>
  <si>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</si>
  <si>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</si>
  <si>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</si>
  <si>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</si>
  <si>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</si>
  <si>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</si>
  <si>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</si>
  <si>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</si>
  <si>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</si>
  <si>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</si>
  <si>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</si>
  <si>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</si>
  <si>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</si>
  <si>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</si>
  <si>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</si>
  <si>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</si>
  <si>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</si>
  <si>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</si>
  <si>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</si>
  <si>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</si>
  <si>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</si>
  <si>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</si>
  <si>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</si>
  <si>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</si>
  <si>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</si>
  <si>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</si>
  <si>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</si>
  <si>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</si>
  <si>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</si>
  <si>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</si>
  <si>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</si>
  <si>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</si>
  <si>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</si>
  <si>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</si>
  <si>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</si>
  <si>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</si>
  <si>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</si>
  <si>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</si>
  <si>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</si>
  <si>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</si>
  <si>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</si>
  <si>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</si>
  <si>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</si>
  <si>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</si>
  <si>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</si>
  <si>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</si>
  <si>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</si>
  <si>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</si>
  <si>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</si>
  <si>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</si>
  <si>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</si>
  <si>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</si>
  <si>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</si>
  <si>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</si>
  <si>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</si>
  <si>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</si>
  <si>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</si>
  <si>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</si>
  <si>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</si>
  <si>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</si>
  <si>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</si>
  <si>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</si>
  <si>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</si>
  <si>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</si>
  <si>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</si>
  <si>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</si>
  <si>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</si>
  <si>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</si>
  <si>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</si>
  <si>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</si>
  <si>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</si>
  <si>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</si>
  <si>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</si>
  <si>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</si>
  <si>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</si>
  <si>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</si>
  <si>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</si>
  <si>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</si>
  <si>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</si>
  <si>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</si>
  <si>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</si>
  <si>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</si>
  <si>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</si>
  <si>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</si>
  <si>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</si>
  <si>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</si>
  <si>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</si>
  <si>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</si>
  <si>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</si>
  <si>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</si>
  <si>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</si>
  <si>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</si>
  <si>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</si>
  <si>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</si>
  <si>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</si>
  <si>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</si>
  <si>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</si>
  <si>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</si>
  <si>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</si>
  <si>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</si>
  <si>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</si>
  <si>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</si>
  <si>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</si>
  <si>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</si>
  <si>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</si>
  <si>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</si>
  <si>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</si>
  <si>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</si>
  <si>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</si>
  <si>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</si>
  <si>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</si>
  <si>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</si>
  <si>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</si>
  <si>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</si>
  <si>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</si>
  <si>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</si>
  <si>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</si>
  <si>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</si>
  <si>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</si>
  <si>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</si>
  <si>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</si>
  <si>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</si>
  <si>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</si>
  <si>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</si>
  <si>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</si>
  <si>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</si>
  <si>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</si>
  <si>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</si>
  <si>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</si>
  <si>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</si>
  <si>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</si>
  <si>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</si>
  <si>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</si>
  <si>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</si>
  <si>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</si>
  <si>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</si>
  <si>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</si>
  <si>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</si>
  <si>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</si>
  <si>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</si>
  <si>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</si>
  <si>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</si>
  <si>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</si>
  <si>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</si>
  <si>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</si>
  <si>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</si>
  <si>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</si>
  <si>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</si>
  <si>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</si>
  <si>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</si>
  <si>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</si>
  <si>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</si>
  <si>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</si>
  <si>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</si>
  <si>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</si>
  <si>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</si>
  <si>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</si>
  <si>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</si>
  <si>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</si>
  <si>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</si>
  <si>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</si>
  <si>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</si>
  <si>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</si>
  <si>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</si>
  <si>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</si>
  <si>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</si>
  <si>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</si>
  <si>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</si>
  <si>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</si>
  <si>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</si>
  <si>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</si>
  <si>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</si>
  <si>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</si>
  <si>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</si>
  <si>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</si>
  <si>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</si>
  <si>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</si>
  <si>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</si>
  <si>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</si>
  <si>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</si>
  <si>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</si>
  <si>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</si>
  <si>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</si>
  <si>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</si>
  <si>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</si>
  <si>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</si>
  <si>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</si>
  <si>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</si>
  <si>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</si>
  <si>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</si>
  <si>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</si>
  <si>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</si>
  <si>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</si>
  <si>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</si>
  <si>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</si>
  <si>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</si>
  <si>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</si>
  <si>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</si>
  <si>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</si>
  <si>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</si>
  <si>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</si>
  <si>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</si>
  <si>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</si>
  <si>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</si>
  <si>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</si>
  <si>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</si>
  <si>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</si>
  <si>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</si>
  <si>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</si>
  <si>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</si>
  <si>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</si>
  <si>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</si>
  <si>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</si>
  <si>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</si>
  <si>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</si>
  <si>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</si>
  <si>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</si>
  <si>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</si>
  <si>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</si>
  <si>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</si>
  <si>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</si>
  <si>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</si>
  <si>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</si>
  <si>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</si>
  <si>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</si>
  <si>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</si>
  <si>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</si>
  <si>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</si>
  <si>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</si>
  <si>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</si>
  <si>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</si>
  <si>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</si>
  <si>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</si>
  <si>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</si>
  <si>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</si>
  <si>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</si>
  <si>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</si>
  <si>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</si>
  <si>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</si>
  <si>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</si>
  <si>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</si>
  <si>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</si>
  <si>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</si>
  <si>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</si>
  <si>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</si>
  <si>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</si>
  <si>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</si>
  <si>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</si>
  <si>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</si>
  <si>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</si>
  <si>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</si>
  <si>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</si>
  <si>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</si>
  <si>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</si>
  <si>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</si>
  <si>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</si>
  <si>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</si>
  <si>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</si>
  <si>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</si>
  <si>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</si>
  <si>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</si>
  <si>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</si>
  <si>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</si>
  <si>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</si>
  <si>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</si>
  <si>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</si>
  <si>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</si>
  <si>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</si>
  <si>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</si>
  <si>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</si>
  <si>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</si>
  <si>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</si>
  <si>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</si>
  <si>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</si>
  <si>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</si>
  <si>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</si>
  <si>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</si>
  <si>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</si>
  <si>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</si>
  <si>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</si>
  <si>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</si>
  <si>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</si>
  <si>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</si>
  <si>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</si>
  <si>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</si>
  <si>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</si>
  <si>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</si>
  <si>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</si>
  <si>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</si>
  <si>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</si>
  <si>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</si>
  <si>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</si>
  <si>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</si>
  <si>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</si>
  <si>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</si>
  <si>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</si>
  <si>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</si>
  <si>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</si>
  <si>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</si>
  <si>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</si>
  <si>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</si>
  <si>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</si>
  <si>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</si>
  <si>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</si>
  <si>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</si>
  <si>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</si>
  <si>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</si>
  <si>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</si>
  <si>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</si>
  <si>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</si>
  <si>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</si>
  <si>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</si>
  <si>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</si>
  <si>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</si>
  <si>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</si>
  <si>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</si>
  <si>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</si>
  <si>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</si>
  <si>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</si>
  <si>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</si>
  <si>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</si>
  <si>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</si>
  <si>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</si>
  <si>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</si>
  <si>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</si>
  <si>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</si>
  <si>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</si>
  <si>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</si>
  <si>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</si>
  <si>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</si>
  <si>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</si>
  <si>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</si>
  <si>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</si>
  <si>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</si>
  <si>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</si>
  <si>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</si>
  <si>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</si>
  <si>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</si>
  <si>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</si>
  <si>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</si>
  <si>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</si>
  <si>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</si>
  <si>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</si>
  <si>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</si>
  <si>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</si>
  <si>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</si>
  <si>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</si>
  <si>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</si>
  <si>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</si>
  <si>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</si>
  <si>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</si>
  <si>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</si>
  <si>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</si>
  <si>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</si>
  <si>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</si>
  <si>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</si>
  <si>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</si>
  <si>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</si>
  <si>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</si>
  <si>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</si>
  <si>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</si>
  <si>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</si>
  <si>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</si>
  <si>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</si>
  <si>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</si>
  <si>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</si>
  <si>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</si>
  <si>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</si>
  <si>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</si>
  <si>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</si>
  <si>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</si>
  <si>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</si>
  <si>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</si>
  <si>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</si>
  <si>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</si>
  <si>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</si>
  <si>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</si>
  <si>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</si>
  <si>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</si>
  <si>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</si>
  <si>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</si>
  <si>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</si>
  <si>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</si>
  <si>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</si>
  <si>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</si>
  <si>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</si>
  <si>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</si>
  <si>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</si>
  <si>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</si>
  <si>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</si>
  <si>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</si>
  <si>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</si>
  <si>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</si>
  <si>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</si>
  <si>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</si>
  <si>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</si>
  <si>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</si>
  <si>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</si>
  <si>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</si>
  <si>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</si>
  <si>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</si>
  <si>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</si>
  <si>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</si>
  <si>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</si>
  <si>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</si>
  <si>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</si>
  <si>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</si>
  <si>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</si>
  <si>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</si>
  <si>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</si>
  <si>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</si>
  <si>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</si>
  <si>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</si>
  <si>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</si>
  <si>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</si>
  <si>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</si>
  <si>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</si>
  <si>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</si>
  <si>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</si>
  <si>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</si>
  <si>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</si>
  <si>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</si>
  <si>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</si>
  <si>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</si>
  <si>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</si>
  <si>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</si>
  <si>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</si>
  <si>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</si>
  <si>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</si>
  <si>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</si>
  <si>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</si>
  <si>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</si>
  <si>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</si>
  <si>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</si>
  <si>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</si>
  <si>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</si>
  <si>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</si>
  <si>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</si>
  <si>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</si>
  <si>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</si>
  <si>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</si>
  <si>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</si>
  <si>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</si>
  <si>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</si>
  <si>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</si>
  <si>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</si>
  <si>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</si>
  <si>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</si>
  <si>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</si>
  <si>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</si>
  <si>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</si>
  <si>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</si>
  <si>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</si>
  <si>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</si>
  <si>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</si>
  <si>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</si>
  <si>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</si>
  <si>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</si>
  <si>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</si>
  <si>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</si>
  <si>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</si>
  <si>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</si>
  <si>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</si>
  <si>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</si>
  <si>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</si>
  <si>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</si>
  <si>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</si>
  <si>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</si>
  <si>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</si>
  <si>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</si>
  <si>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</si>
  <si>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</si>
  <si>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</si>
  <si>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</si>
  <si>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</si>
  <si>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</si>
  <si>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</si>
  <si>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</si>
  <si>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</si>
  <si>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</si>
  <si>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</si>
  <si>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</si>
  <si>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</si>
  <si>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</si>
  <si>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</si>
  <si>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</si>
  <si>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</si>
  <si>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</si>
  <si>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</si>
  <si>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</si>
  <si>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</si>
  <si>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</si>
  <si>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</si>
  <si>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</si>
  <si>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</si>
  <si>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</si>
  <si>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</si>
  <si>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</si>
  <si>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</si>
  <si>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</si>
  <si>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</si>
  <si>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</si>
  <si>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</si>
  <si>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</si>
  <si>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</si>
  <si>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</si>
  <si>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</si>
  <si>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</si>
  <si>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</si>
  <si>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</si>
  <si>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</si>
  <si>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</si>
  <si>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</si>
  <si>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</si>
  <si>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</si>
  <si>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</si>
  <si>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</si>
  <si>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</si>
  <si>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</si>
  <si>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</si>
  <si>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</si>
  <si>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</si>
  <si>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</si>
  <si>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</si>
  <si>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</si>
  <si>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</si>
  <si>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</si>
  <si>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</si>
  <si>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</si>
  <si>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</si>
  <si>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</si>
  <si>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</si>
  <si>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</si>
  <si>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</si>
  <si>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</si>
  <si>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</si>
  <si>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</si>
  <si>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</si>
  <si>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</si>
  <si>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</si>
  <si>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</si>
  <si>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</si>
  <si>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</si>
  <si>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</si>
  <si>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</si>
  <si>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</si>
  <si>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</si>
  <si>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</si>
  <si>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</si>
  <si>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</si>
  <si>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</si>
  <si>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</si>
  <si>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</si>
  <si>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</si>
  <si>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</si>
  <si>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</si>
  <si>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</si>
  <si>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</si>
  <si>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</si>
  <si>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</si>
  <si>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</si>
  <si>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</si>
  <si>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</si>
  <si>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</si>
  <si>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</si>
  <si>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</si>
  <si>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</si>
  <si>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</si>
  <si>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</si>
  <si>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</si>
  <si>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</si>
  <si>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</si>
  <si>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</si>
  <si>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</si>
  <si>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</si>
  <si>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</si>
  <si>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</si>
  <si>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</si>
  <si>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</si>
  <si>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</si>
  <si>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</si>
  <si>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</si>
  <si>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</si>
  <si>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</si>
  <si>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</si>
  <si>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</si>
  <si>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</si>
  <si>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</si>
  <si>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</si>
  <si>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</si>
  <si>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</si>
  <si>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</si>
  <si>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</si>
  <si>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</si>
  <si>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</si>
  <si>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</si>
  <si>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</si>
  <si>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</si>
  <si>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</si>
  <si>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</si>
  <si>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</si>
  <si>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</si>
  <si>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</si>
  <si>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</si>
  <si>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</si>
  <si>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</si>
  <si>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</si>
  <si>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</si>
  <si>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</si>
  <si>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</si>
  <si>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</si>
  <si>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</si>
  <si>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</si>
  <si>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</si>
  <si>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</si>
  <si>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</si>
  <si>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</si>
  <si>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</si>
  <si>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</si>
  <si>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</si>
  <si>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</si>
  <si>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</si>
  <si>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</si>
  <si>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</si>
  <si>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</si>
  <si>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</si>
  <si>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</si>
  <si>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</si>
  <si>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</si>
  <si>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</si>
  <si>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</si>
  <si>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</si>
  <si>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</si>
  <si>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</si>
  <si>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</si>
  <si>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</si>
  <si>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</si>
  <si>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</si>
  <si>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</si>
  <si>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</si>
  <si>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</si>
  <si>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</si>
  <si>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</si>
  <si>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</si>
  <si>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</si>
  <si>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</si>
  <si>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</si>
  <si>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</si>
  <si>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</si>
  <si>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</si>
  <si>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</si>
  <si>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</si>
  <si>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</si>
  <si>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</si>
  <si>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</si>
  <si>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</si>
  <si>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</si>
  <si>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</si>
  <si>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</si>
  <si>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</si>
  <si>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</si>
  <si>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</si>
  <si>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</si>
  <si>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</si>
  <si>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</si>
  <si>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</si>
  <si>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</si>
  <si>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</si>
  <si>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</si>
  <si>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</si>
  <si>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</si>
  <si>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</si>
  <si>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</si>
  <si>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</si>
  <si>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</si>
  <si>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</si>
  <si>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</si>
  <si>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</si>
  <si>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</si>
  <si>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</si>
  <si>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</si>
  <si>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</si>
  <si>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</si>
  <si>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</si>
  <si>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</si>
  <si>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</si>
  <si>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</si>
  <si>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</si>
  <si>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</si>
  <si>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</si>
  <si>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</si>
  <si>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</si>
  <si>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</si>
  <si>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</si>
  <si>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</si>
  <si>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</si>
  <si>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</si>
  <si>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</si>
  <si>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</si>
  <si>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</si>
  <si>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</si>
  <si>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</si>
  <si>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</si>
  <si>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</si>
  <si>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</si>
  <si>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</si>
  <si>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</si>
  <si>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</si>
  <si>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</si>
  <si>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</si>
  <si>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</si>
  <si>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</si>
  <si>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</si>
  <si>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</si>
  <si>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</si>
  <si>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</si>
  <si>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</si>
  <si>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</si>
  <si>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</si>
  <si>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</si>
  <si>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</si>
  <si>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</si>
  <si>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</si>
  <si>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</si>
  <si>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</si>
  <si>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</si>
  <si>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</si>
  <si>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</si>
  <si>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</si>
  <si>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</si>
  <si>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</si>
  <si>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</si>
  <si>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</si>
  <si>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</si>
  <si>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</si>
  <si>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</si>
  <si>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</si>
  <si>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</si>
  <si>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</si>
  <si>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</si>
  <si>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</si>
  <si>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</si>
  <si>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</si>
  <si>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</si>
  <si>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</si>
  <si>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</si>
  <si>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</si>
  <si>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</si>
  <si>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</si>
  <si>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</si>
  <si>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</si>
  <si>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</si>
  <si>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</si>
  <si>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</si>
  <si>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</si>
  <si>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</si>
  <si>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</si>
  <si>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</si>
  <si>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</si>
  <si>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</si>
  <si>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</si>
  <si>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</si>
  <si>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</si>
  <si>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</si>
  <si>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</si>
  <si>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</si>
  <si>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</si>
  <si>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</si>
  <si>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</si>
  <si>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</si>
  <si>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</si>
  <si>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</si>
  <si>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</si>
  <si>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</si>
  <si>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</si>
  <si>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</si>
  <si>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</si>
  <si>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</si>
  <si>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</si>
  <si>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</si>
  <si>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</si>
  <si>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</si>
  <si>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</si>
  <si>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</si>
  <si>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</si>
  <si>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</si>
  <si>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</si>
  <si>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</si>
  <si>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</si>
  <si>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</si>
  <si>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</si>
  <si>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</si>
  <si>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</si>
  <si>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</si>
  <si>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</si>
  <si>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</si>
  <si>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</si>
  <si>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</si>
  <si>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</si>
  <si>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</si>
  <si>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</si>
  <si>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</si>
  <si>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</si>
  <si>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</si>
  <si>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</si>
  <si>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</si>
  <si>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</si>
  <si>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</si>
  <si>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</si>
  <si>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</si>
  <si>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</si>
  <si>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</si>
  <si>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</si>
  <si>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</si>
  <si>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</si>
  <si>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</si>
  <si>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</si>
  <si>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</si>
  <si>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</si>
  <si>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</si>
  <si>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</si>
  <si>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</si>
  <si>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</si>
  <si>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</si>
  <si>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</si>
  <si>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</si>
  <si>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</si>
  <si>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</si>
  <si>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</si>
  <si>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</si>
  <si>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</si>
  <si>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</si>
  <si>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</si>
  <si>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</si>
  <si>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</si>
  <si>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</si>
  <si>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</si>
  <si>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</si>
  <si>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</si>
  <si>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</si>
  <si>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</si>
  <si>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</si>
  <si>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</si>
  <si>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</si>
  <si>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</si>
  <si>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</si>
  <si>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</si>
  <si>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</si>
  <si>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</si>
  <si>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</si>
  <si>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</si>
  <si>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</si>
  <si>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</si>
  <si>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</si>
  <si>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</si>
  <si>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</si>
  <si>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</si>
  <si>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</si>
  <si>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</si>
  <si>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</si>
  <si>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</si>
  <si>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</si>
  <si>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</si>
  <si>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</si>
  <si>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</si>
  <si>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</si>
  <si>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</si>
  <si>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</si>
  <si>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</si>
  <si>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</si>
  <si>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</si>
  <si>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</si>
  <si>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</si>
  <si>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</si>
  <si>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</si>
  <si>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</si>
  <si>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</si>
  <si>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</si>
  <si>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</si>
  <si>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</si>
  <si>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</si>
  <si>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</si>
  <si>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</si>
  <si>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</si>
  <si>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</si>
  <si>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</si>
  <si>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</si>
  <si>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</si>
  <si>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</si>
  <si>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</si>
  <si>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</si>
  <si>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</si>
  <si>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</si>
  <si>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</si>
  <si>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</si>
  <si>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</si>
  <si>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</si>
  <si>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</si>
  <si>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</si>
  <si>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</si>
  <si>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</si>
  <si>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</si>
  <si>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</si>
  <si>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</si>
  <si>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</si>
  <si>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</si>
  <si>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</si>
  <si>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</si>
  <si>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</si>
  <si>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</si>
  <si>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</si>
  <si>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</si>
  <si>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</si>
  <si>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</si>
  <si>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</si>
  <si>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</si>
  <si>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</si>
  <si>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</si>
  <si>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</si>
  <si>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</si>
  <si>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</si>
  <si>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</si>
  <si>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</si>
  <si>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</si>
  <si>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</si>
  <si>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</si>
  <si>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</si>
  <si>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</si>
  <si>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</si>
  <si>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</si>
  <si>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</si>
  <si>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</si>
  <si>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</si>
  <si>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</si>
  <si>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</si>
  <si>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</si>
  <si>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</si>
  <si>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</si>
  <si>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</si>
  <si>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</si>
  <si>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</si>
  <si>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</si>
  <si>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</si>
  <si>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</si>
  <si>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</si>
  <si>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</si>
  <si>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</si>
  <si>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</si>
  <si>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</si>
  <si>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</si>
  <si>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</si>
  <si>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</si>
  <si>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</si>
  <si>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</si>
  <si>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</si>
  <si>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</si>
  <si>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</si>
  <si>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</si>
  <si>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</si>
  <si>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</si>
  <si>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</si>
  <si>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</si>
  <si>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</si>
  <si>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</si>
  <si>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</si>
  <si>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</si>
  <si>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</si>
  <si>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</si>
  <si>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</si>
  <si>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</si>
  <si>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</si>
  <si>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</si>
  <si>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</si>
  <si>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</si>
  <si>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</si>
  <si>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</si>
  <si>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</si>
  <si>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</si>
  <si>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</si>
  <si>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</si>
  <si>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</si>
  <si>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</si>
  <si>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</si>
  <si>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</si>
  <si>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</si>
  <si>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</si>
  <si>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</si>
  <si>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</si>
  <si>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</si>
  <si>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</si>
  <si>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</si>
  <si>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</si>
  <si>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</si>
  <si>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</si>
  <si>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</si>
  <si>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</si>
  <si>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</si>
  <si>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</si>
  <si>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</si>
  <si>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</si>
  <si>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</si>
  <si>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</si>
  <si>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</si>
  <si>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</si>
  <si>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</si>
  <si>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</si>
  <si>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</si>
  <si>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</si>
  <si>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</si>
  <si>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</si>
  <si>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</si>
  <si>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</si>
  <si>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</si>
  <si>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</si>
  <si>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</si>
  <si>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</si>
  <si>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</si>
  <si>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</si>
  <si>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</si>
  <si>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</si>
  <si>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</si>
  <si>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</si>
  <si>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</si>
  <si>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</si>
  <si>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</si>
  <si>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</si>
  <si>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</si>
  <si>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</si>
  <si>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</si>
  <si>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</si>
  <si>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</si>
  <si>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</si>
  <si>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</si>
  <si>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</si>
  <si>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</si>
  <si>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</si>
  <si>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</si>
  <si>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</si>
  <si>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</si>
  <si>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</si>
  <si>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</si>
  <si>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</si>
  <si>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</si>
  <si>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</si>
  <si>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</si>
  <si>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</si>
  <si>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</si>
  <si>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</si>
  <si>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</si>
  <si>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</si>
  <si>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</si>
  <si>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</si>
  <si>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</si>
  <si>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</si>
  <si>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</si>
  <si>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</si>
  <si>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</si>
  <si>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</si>
  <si>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</si>
  <si>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</si>
  <si>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</si>
  <si>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</si>
  <si>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</si>
  <si>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</si>
  <si>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</si>
  <si>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</si>
  <si>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</si>
  <si>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</si>
  <si>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</si>
  <si>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</si>
  <si>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</si>
  <si>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</si>
  <si>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</si>
  <si>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</si>
  <si>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</si>
  <si>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</si>
  <si>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</si>
  <si>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</si>
  <si>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</si>
  <si>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</si>
  <si>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</si>
  <si>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</si>
  <si>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</si>
  <si>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</si>
  <si>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</si>
  <si>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</si>
  <si>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</si>
  <si>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</si>
  <si>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</si>
  <si>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</si>
  <si>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</si>
  <si>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</si>
  <si>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</si>
  <si>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</si>
  <si>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</si>
  <si>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</si>
  <si>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</si>
  <si>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</si>
  <si>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</si>
  <si>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</si>
  <si>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</si>
  <si>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</si>
  <si>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</si>
  <si>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</si>
  <si>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</si>
  <si>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</si>
  <si>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</si>
  <si>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</si>
  <si>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</si>
  <si>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</si>
  <si>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</si>
  <si>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</si>
  <si>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</si>
  <si>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</si>
  <si>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</si>
  <si>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</si>
  <si>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</si>
  <si>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</si>
  <si>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</si>
  <si>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</si>
  <si>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</si>
  <si>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</si>
  <si>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</si>
  <si>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</si>
  <si>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</si>
  <si>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</si>
  <si>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</si>
  <si>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</si>
  <si>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</si>
  <si>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</si>
  <si>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</si>
  <si>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</si>
  <si>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</si>
  <si>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</si>
  <si>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</si>
  <si>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</si>
  <si>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</si>
  <si>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</si>
  <si>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</si>
  <si>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</si>
  <si>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</si>
  <si>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</si>
  <si>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</si>
  <si>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</si>
  <si>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</si>
  <si>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</si>
  <si>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</si>
  <si>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</si>
  <si>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</si>
  <si>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</si>
  <si>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</si>
  <si>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</si>
  <si>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</si>
  <si>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</si>
  <si>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</si>
  <si>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</si>
  <si>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</si>
  <si>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</si>
  <si>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</si>
  <si>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</si>
  <si>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</si>
  <si>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</si>
  <si>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</si>
  <si>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</si>
  <si>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</si>
  <si>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</si>
  <si>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</si>
  <si>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</si>
  <si>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</si>
  <si>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</si>
  <si>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</si>
  <si>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</si>
  <si>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</si>
  <si>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</si>
  <si>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</si>
  <si>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</si>
  <si>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</si>
  <si>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</si>
  <si>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</si>
  <si>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</si>
  <si>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</si>
  <si>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</si>
  <si>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</si>
  <si>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</si>
  <si>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</si>
  <si>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</si>
  <si>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</si>
  <si>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</si>
  <si>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</si>
  <si>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</si>
  <si>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</si>
  <si>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</si>
  <si>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</si>
  <si>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</si>
  <si>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</si>
  <si>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</si>
  <si>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</si>
  <si>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</si>
  <si>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</si>
  <si>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</si>
  <si>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</si>
  <si>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</si>
  <si>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</si>
  <si>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</si>
  <si>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</si>
  <si>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</si>
  <si>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</si>
  <si>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</si>
  <si>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</si>
  <si>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</si>
  <si>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</si>
  <si>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</si>
  <si>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</si>
  <si>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</si>
  <si>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</si>
  <si>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</si>
  <si>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</si>
  <si>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</si>
  <si>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</si>
  <si>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</si>
  <si>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</si>
  <si>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</si>
  <si>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</si>
  <si>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</si>
  <si>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</si>
  <si>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</si>
  <si>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</si>
  <si>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</si>
  <si>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</si>
  <si>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</si>
  <si>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</si>
  <si>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</si>
  <si>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</si>
  <si>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</si>
  <si>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</si>
  <si>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</si>
  <si>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</si>
  <si>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</si>
  <si>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</si>
  <si>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</si>
  <si>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</si>
  <si>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</si>
  <si>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</si>
  <si>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</si>
  <si>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</si>
  <si>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</si>
  <si>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</si>
  <si>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</si>
  <si>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</si>
  <si>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</si>
  <si>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</si>
  <si>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</si>
  <si>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</si>
  <si>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</si>
  <si>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</si>
  <si>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</si>
  <si>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</si>
  <si>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</si>
  <si>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</si>
  <si>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</si>
  <si>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</si>
  <si>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</si>
  <si>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</si>
  <si>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</si>
  <si>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</si>
  <si>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</si>
  <si>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</si>
  <si>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</si>
  <si>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</si>
  <si>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</si>
  <si>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</si>
  <si>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</si>
  <si>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</si>
  <si>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</si>
  <si>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</si>
  <si>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</si>
  <si>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</si>
  <si>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</si>
  <si>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</si>
  <si>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</si>
  <si>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</si>
  <si>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</si>
  <si>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</si>
  <si>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</si>
  <si>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</si>
  <si>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</si>
  <si>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</si>
  <si>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</si>
  <si>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</si>
  <si>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</si>
  <si>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</si>
  <si>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</si>
  <si>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</si>
  <si>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</si>
  <si>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</si>
  <si>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</si>
  <si>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</si>
  <si>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</si>
  <si>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</si>
  <si>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</si>
  <si>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</si>
  <si>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</si>
  <si>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</si>
  <si>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</si>
  <si>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</si>
  <si>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</si>
  <si>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</si>
  <si>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</si>
  <si>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</si>
  <si>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</si>
  <si>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</si>
  <si>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</si>
  <si>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</si>
  <si>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</si>
  <si>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</si>
  <si>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</si>
  <si>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</si>
  <si>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</si>
  <si>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</si>
  <si>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</si>
  <si>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</si>
  <si>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</si>
  <si>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</si>
  <si>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</si>
  <si>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</si>
  <si>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</si>
  <si>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</si>
  <si>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</si>
  <si>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</si>
  <si>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</si>
  <si>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</si>
  <si>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</si>
  <si>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</si>
  <si>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</si>
  <si>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</si>
  <si>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</si>
  <si>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</si>
  <si>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</si>
  <si>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</si>
  <si>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</si>
  <si>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</si>
  <si>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</si>
  <si>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</si>
  <si>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</si>
  <si>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</si>
  <si>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</si>
  <si>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</si>
  <si>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</si>
  <si>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</si>
  <si>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</si>
  <si>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</si>
  <si>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</si>
  <si>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</si>
  <si>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</si>
  <si>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</si>
  <si>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</si>
  <si>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</si>
  <si>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</si>
  <si>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</si>
  <si>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</si>
  <si>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</si>
  <si>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</si>
  <si>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</si>
  <si>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</si>
  <si>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</si>
  <si>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</si>
  <si>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</si>
  <si>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</si>
  <si>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</si>
  <si>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</si>
  <si>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</si>
  <si>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</si>
  <si>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</si>
  <si>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</si>
  <si>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</si>
  <si>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</si>
  <si>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</si>
  <si>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</si>
  <si>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</si>
  <si>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</si>
  <si>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</si>
  <si>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</si>
  <si>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</si>
  <si>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</si>
  <si>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</si>
  <si>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</si>
  <si>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</si>
  <si>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</si>
  <si>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</si>
  <si>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</si>
  <si>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</si>
  <si>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</si>
  <si>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</si>
  <si>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</si>
  <si>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</si>
  <si>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</si>
  <si>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</si>
  <si>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</si>
  <si>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</si>
  <si>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</si>
  <si>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</si>
  <si>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</si>
  <si>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</si>
  <si>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</si>
  <si>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</si>
  <si>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</si>
  <si>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</si>
  <si>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</si>
  <si>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</si>
  <si>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</si>
  <si>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</si>
  <si>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</si>
  <si>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</si>
  <si>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</si>
  <si>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</si>
  <si>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</si>
  <si>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</si>
  <si>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</si>
  <si>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</si>
  <si>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</si>
  <si>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</si>
  <si>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</si>
  <si>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</si>
  <si>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</si>
  <si>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</si>
  <si>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</si>
  <si>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</si>
  <si>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</si>
  <si>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</si>
  <si>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</si>
  <si>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</si>
  <si>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</si>
  <si>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</si>
  <si>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</si>
  <si>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</si>
  <si>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</si>
  <si>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</si>
  <si>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</si>
  <si>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</si>
  <si>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</si>
  <si>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</si>
  <si>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</si>
  <si>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</si>
  <si>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</si>
  <si>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</si>
  <si>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</si>
  <si>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</si>
  <si>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</si>
  <si>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</si>
  <si>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</si>
  <si>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</si>
  <si>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</si>
  <si>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</si>
  <si>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</si>
  <si>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</si>
  <si>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</si>
  <si>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</si>
  <si>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</si>
  <si>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</si>
  <si>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</si>
  <si>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</si>
  <si>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</si>
  <si>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</si>
  <si>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</si>
  <si>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</si>
  <si>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</si>
  <si>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</si>
  <si>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</si>
  <si>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</si>
  <si>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</si>
  <si>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</si>
  <si>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</si>
  <si>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</si>
  <si>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</si>
  <si>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</si>
  <si>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</si>
  <si>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</si>
  <si>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</si>
  <si>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</si>
  <si>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</si>
  <si>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</si>
  <si>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</si>
  <si>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</si>
  <si>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</si>
  <si>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</si>
  <si>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</si>
  <si>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</si>
  <si>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</si>
  <si>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</si>
  <si>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</si>
  <si>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</si>
  <si>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</si>
  <si>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</si>
  <si>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</si>
  <si>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</si>
  <si>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</si>
  <si>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</si>
  <si>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</si>
  <si>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</si>
  <si>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</si>
  <si>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</si>
  <si>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</si>
  <si>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</si>
  <si>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</si>
  <si>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</si>
  <si>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</si>
  <si>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</si>
  <si>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</si>
  <si>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</si>
  <si>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</si>
  <si>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</si>
  <si>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</si>
  <si>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</si>
  <si>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</si>
  <si>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</si>
  <si>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</si>
  <si>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</si>
  <si>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</si>
  <si>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</si>
  <si>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</si>
  <si>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</si>
  <si>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</si>
  <si>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</si>
  <si>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</si>
  <si>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</si>
  <si>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</si>
  <si>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</si>
  <si>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</si>
  <si>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</si>
  <si>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</si>
  <si>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</si>
  <si>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</si>
  <si>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</si>
  <si>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</si>
  <si>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</si>
  <si>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</si>
  <si>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</si>
  <si>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</si>
  <si>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</si>
  <si>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</si>
  <si>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</si>
  <si>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</si>
  <si>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</si>
  <si>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</si>
  <si>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</si>
  <si>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</si>
  <si>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</si>
  <si>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</si>
  <si>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</si>
  <si>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</si>
  <si>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</si>
  <si>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</si>
  <si>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</si>
  <si>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</si>
  <si>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</si>
  <si>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</si>
  <si>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</si>
  <si>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</si>
  <si>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</si>
  <si>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</si>
  <si>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</si>
  <si>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</si>
  <si>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</si>
  <si>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</si>
  <si>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</si>
  <si>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</si>
  <si>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</si>
  <si>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</si>
  <si>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</si>
  <si>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</si>
  <si>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</si>
  <si>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</si>
  <si>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</si>
  <si>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</si>
  <si>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</si>
  <si>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</si>
  <si>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</si>
  <si>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</si>
  <si>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</si>
  <si>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</si>
  <si>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</si>
  <si>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</si>
  <si>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</si>
  <si>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</si>
  <si>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</si>
  <si>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</si>
  <si>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</si>
  <si>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</si>
  <si>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</si>
  <si>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</si>
  <si>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</si>
  <si>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</si>
  <si>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</si>
  <si>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</si>
  <si>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</si>
  <si>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</si>
  <si>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</si>
  <si>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</si>
  <si>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</si>
  <si>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</si>
  <si>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</si>
  <si>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</si>
  <si>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</si>
  <si>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</si>
  <si>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</si>
  <si>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</si>
  <si>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</si>
  <si>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</si>
  <si>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</si>
  <si>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</si>
  <si>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</si>
  <si>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</si>
  <si>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</si>
  <si>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</si>
  <si>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</si>
  <si>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</si>
  <si>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</si>
  <si>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</si>
  <si>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</si>
  <si>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</si>
  <si>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</si>
  <si>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</si>
  <si>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</si>
  <si>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</si>
  <si>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</si>
  <si>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</si>
  <si>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</si>
  <si>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</si>
  <si>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</si>
  <si>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</si>
  <si>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</si>
  <si>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</si>
  <si>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</si>
  <si>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</si>
  <si>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</si>
  <si>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</si>
  <si>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</si>
  <si>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</si>
  <si>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</si>
  <si>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</si>
  <si>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</si>
  <si>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</si>
  <si>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</si>
  <si>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</si>
  <si>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</si>
  <si>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</si>
  <si>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</si>
  <si>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</si>
  <si>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</si>
  <si>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</si>
  <si>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</si>
  <si>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</si>
  <si>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</si>
  <si>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</si>
  <si>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</si>
  <si>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</si>
  <si>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</si>
  <si>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</si>
  <si>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</si>
  <si>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</si>
  <si>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</si>
  <si>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</si>
  <si>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</si>
  <si>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</si>
  <si>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</si>
  <si>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</si>
  <si>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</si>
  <si>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</si>
  <si>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</si>
  <si>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</si>
  <si>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</si>
  <si>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</si>
  <si>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</si>
  <si>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</si>
  <si>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</si>
  <si>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</si>
  <si>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</si>
  <si>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</si>
  <si>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</si>
  <si>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</si>
  <si>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</si>
  <si>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</si>
  <si>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</si>
  <si>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</si>
  <si>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</si>
  <si>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</si>
  <si>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</si>
  <si>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</si>
  <si>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</si>
  <si>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</si>
  <si>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</si>
  <si>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</si>
  <si>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</si>
  <si>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</si>
  <si>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</si>
  <si>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</si>
  <si>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</si>
  <si>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</si>
  <si>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</si>
  <si>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</si>
  <si>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</si>
  <si>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</si>
  <si>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</si>
  <si>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</si>
  <si>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</si>
  <si>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</si>
  <si>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</si>
  <si>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</si>
  <si>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</si>
  <si>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</si>
  <si>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</si>
  <si>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</si>
  <si>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</si>
  <si>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</si>
  <si>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</si>
  <si>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</si>
  <si>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</si>
  <si>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</si>
  <si>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</si>
  <si>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</si>
  <si>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</si>
  <si>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</si>
  <si>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</si>
  <si>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</si>
  <si>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</si>
  <si>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</si>
  <si>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</si>
  <si>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</si>
  <si>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</si>
  <si>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</si>
  <si>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</si>
  <si>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</si>
  <si>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</si>
  <si>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</si>
  <si>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</si>
  <si>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</si>
  <si>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</si>
  <si>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</si>
  <si>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</si>
  <si>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</si>
  <si>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</si>
  <si>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</si>
  <si>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</si>
  <si>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</si>
  <si>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</si>
  <si>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</si>
  <si>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</si>
  <si>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</si>
  <si>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</si>
  <si>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</si>
  <si>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</si>
  <si>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</si>
  <si>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</si>
  <si>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</si>
  <si>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</si>
  <si>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</si>
  <si>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</si>
  <si>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</si>
  <si>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</si>
  <si>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</si>
  <si>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</si>
  <si>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</si>
  <si>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</si>
  <si>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</si>
  <si>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</si>
  <si>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</si>
  <si>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</si>
  <si>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</si>
  <si>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</si>
  <si>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</si>
  <si>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</si>
  <si>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</si>
  <si>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</si>
  <si>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</si>
  <si>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</si>
  <si>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</si>
  <si>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</si>
  <si>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</si>
  <si>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</si>
  <si>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</si>
  <si>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</si>
  <si>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</si>
  <si>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</si>
  <si>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</si>
  <si>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</si>
  <si>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</si>
  <si>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</si>
  <si>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</si>
  <si>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</si>
  <si>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</si>
  <si>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</si>
  <si>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</si>
  <si>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</si>
  <si>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</si>
  <si>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</si>
  <si>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</si>
  <si>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</si>
  <si>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</si>
  <si>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</si>
  <si>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</si>
  <si>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</si>
  <si>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</si>
  <si>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</si>
  <si>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</si>
  <si>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</si>
  <si>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</si>
  <si>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</si>
  <si>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</si>
  <si>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</si>
  <si>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</si>
  <si>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</si>
  <si>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</si>
  <si>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</si>
  <si>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</si>
  <si>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</si>
  <si>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</si>
  <si>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</si>
  <si>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</si>
  <si>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</si>
  <si>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</si>
  <si>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</si>
  <si>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</si>
  <si>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</si>
  <si>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</si>
  <si>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</si>
  <si>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</si>
  <si>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</si>
  <si>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</si>
  <si>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</si>
  <si>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</si>
  <si>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</si>
  <si>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</si>
  <si>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</si>
  <si>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</si>
  <si>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</si>
  <si>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</si>
  <si>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</si>
  <si>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</si>
  <si>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</si>
  <si>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</si>
  <si>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</si>
  <si>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</si>
  <si>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</si>
  <si>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</si>
  <si>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</si>
  <si>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</si>
  <si>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</si>
  <si>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</si>
  <si>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</si>
  <si>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</si>
  <si>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</si>
  <si>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</si>
  <si>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</si>
  <si>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</si>
  <si>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</si>
  <si>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</si>
  <si>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</si>
  <si>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</si>
  <si>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</si>
  <si>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</si>
  <si>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</si>
  <si>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</si>
  <si>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</si>
  <si>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</si>
  <si>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</si>
  <si>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</si>
  <si>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</si>
  <si>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</si>
  <si>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</si>
  <si>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</si>
  <si>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</si>
  <si>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</si>
  <si>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</si>
  <si>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</si>
  <si>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</si>
  <si>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</si>
  <si>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</si>
  <si>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</si>
  <si>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</si>
  <si>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</si>
  <si>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</si>
  <si>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</si>
  <si>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</si>
  <si>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</si>
  <si>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</si>
  <si>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</si>
  <si>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</si>
  <si>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</si>
  <si>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</si>
  <si>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</si>
  <si>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</si>
  <si>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</si>
  <si>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</si>
  <si>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</si>
  <si>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</si>
  <si>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</si>
  <si>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</si>
  <si>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</si>
  <si>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</si>
  <si>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</si>
  <si>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</si>
  <si>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</si>
  <si>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</si>
  <si>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</si>
  <si>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</si>
  <si>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</si>
  <si>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</si>
  <si>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</si>
  <si>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</si>
  <si>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</si>
  <si>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</si>
  <si>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</si>
  <si>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</si>
  <si>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</si>
  <si>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</si>
  <si>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</si>
  <si>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</si>
  <si>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</si>
  <si>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</si>
  <si>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</si>
  <si>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</si>
  <si>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</si>
  <si>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</si>
  <si>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</si>
  <si>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</si>
  <si>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</si>
  <si>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</si>
  <si>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</si>
  <si>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</si>
  <si>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</si>
  <si>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</si>
  <si>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</si>
  <si>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</si>
  <si>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</si>
  <si>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</si>
  <si>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</si>
  <si>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</si>
  <si>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</si>
  <si>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</si>
  <si>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</si>
  <si>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</si>
  <si>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</si>
  <si>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</si>
  <si>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</si>
  <si>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</si>
  <si>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</si>
  <si>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</si>
  <si>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</si>
  <si>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</si>
  <si>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</si>
  <si>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</si>
  <si>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</si>
  <si>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</si>
  <si>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</si>
  <si>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</si>
  <si>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</si>
  <si>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</si>
  <si>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</si>
  <si>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</si>
  <si>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</si>
  <si>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</si>
  <si>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</si>
  <si>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</si>
  <si>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</si>
  <si>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</si>
  <si>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</si>
  <si>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</si>
  <si>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</si>
  <si>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</si>
  <si>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</si>
  <si>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</si>
  <si>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</si>
  <si>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</si>
  <si>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</si>
  <si>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</si>
  <si>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</si>
  <si>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</si>
  <si>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</si>
  <si>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</si>
  <si>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</si>
  <si>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</si>
  <si>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</si>
  <si>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</si>
  <si>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</si>
  <si>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</si>
  <si>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</si>
  <si>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</si>
  <si>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</si>
  <si>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</si>
  <si>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</si>
  <si>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</si>
  <si>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</si>
  <si>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</si>
  <si>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</si>
  <si>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</si>
  <si>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</si>
  <si>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</si>
  <si>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</si>
  <si>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</si>
  <si>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</si>
  <si>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</si>
  <si>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</si>
  <si>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</si>
  <si>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</si>
  <si>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</si>
  <si>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</si>
  <si>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</si>
  <si>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</si>
  <si>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</si>
  <si>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</si>
  <si>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</si>
  <si>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</si>
  <si>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</si>
  <si>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</si>
  <si>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</si>
  <si>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</si>
  <si>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</si>
  <si>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</si>
  <si>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</si>
  <si>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</si>
  <si>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</si>
  <si>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</si>
  <si>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</si>
  <si>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</si>
  <si>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</si>
  <si>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</si>
  <si>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</si>
  <si>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</si>
  <si>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</si>
  <si>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</si>
  <si>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</si>
  <si>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</si>
  <si>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</si>
  <si>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</si>
  <si>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</si>
  <si>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</si>
  <si>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</si>
  <si>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</si>
  <si>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</si>
  <si>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</si>
  <si>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</si>
  <si>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</si>
  <si>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</si>
  <si>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</si>
  <si>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</si>
  <si>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</si>
  <si>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</si>
  <si>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</si>
  <si>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</si>
  <si>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</si>
  <si>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</si>
  <si>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</si>
  <si>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</si>
  <si>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</si>
  <si>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</si>
  <si>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</si>
  <si>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</si>
  <si>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</si>
  <si>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</si>
  <si>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</si>
  <si>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</si>
  <si>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</si>
  <si>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</si>
  <si>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</si>
  <si>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</si>
  <si>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</si>
  <si>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</si>
  <si>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</si>
  <si>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</si>
  <si>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</si>
  <si>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</si>
  <si>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</si>
  <si>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</si>
  <si>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</si>
  <si>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</si>
  <si>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</si>
  <si>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</si>
  <si>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</si>
  <si>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</si>
  <si>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</si>
  <si>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</si>
  <si>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</si>
  <si>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</si>
  <si>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</si>
  <si>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</si>
  <si>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</si>
  <si>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</si>
  <si>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</si>
  <si>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</si>
  <si>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</si>
  <si>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</si>
  <si>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</si>
  <si>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</si>
  <si>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</si>
  <si>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</si>
  <si>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</si>
  <si>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</si>
  <si>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</si>
  <si>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</si>
  <si>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</si>
  <si>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</si>
  <si>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</si>
  <si>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</si>
  <si>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</si>
  <si>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</si>
  <si>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</si>
  <si>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</si>
  <si>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</si>
  <si>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</si>
  <si>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</si>
  <si>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</si>
  <si>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</si>
  <si>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</si>
  <si>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</si>
  <si>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</si>
  <si>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</si>
  <si>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</si>
  <si>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</si>
  <si>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</si>
  <si>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</si>
  <si>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</si>
  <si>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</si>
  <si>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</si>
  <si>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</si>
  <si>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</si>
  <si>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</si>
  <si>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</si>
  <si>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</si>
  <si>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</si>
  <si>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</si>
  <si>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</si>
  <si>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</si>
  <si>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</si>
  <si>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</si>
  <si>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</si>
  <si>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</si>
  <si>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</si>
  <si>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</si>
  <si>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</si>
  <si>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</si>
  <si>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</si>
  <si>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</si>
  <si>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</si>
  <si>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</si>
  <si>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</si>
  <si>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</si>
  <si>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</si>
  <si>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</si>
  <si>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</si>
  <si>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</si>
  <si>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</si>
  <si>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</si>
  <si>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</si>
  <si>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</si>
  <si>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</si>
  <si>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</si>
  <si>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</si>
  <si>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</si>
  <si>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</si>
  <si>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</si>
  <si>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</si>
  <si>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</si>
  <si>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</si>
  <si>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</si>
  <si>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</si>
  <si>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</si>
  <si>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</si>
  <si>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</si>
  <si>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</si>
  <si>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</si>
  <si>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</si>
  <si>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</si>
  <si>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</si>
  <si>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</si>
  <si>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</si>
  <si>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</si>
  <si>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</si>
  <si>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</si>
  <si>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</si>
  <si>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</si>
  <si>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</si>
  <si>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</si>
  <si>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</si>
  <si>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</si>
  <si>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</si>
  <si>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</si>
  <si>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</si>
  <si>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</si>
  <si>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</si>
  <si>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</si>
  <si>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</si>
  <si>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</si>
  <si>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</si>
  <si>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</si>
  <si>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</si>
  <si>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</si>
  <si>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</si>
  <si>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</si>
  <si>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</si>
  <si>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</si>
  <si>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</si>
  <si>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</si>
  <si>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</si>
  <si>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</si>
  <si>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</si>
  <si>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</si>
  <si>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</si>
  <si>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</si>
  <si>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</si>
  <si>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</si>
  <si>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</si>
  <si>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</si>
  <si>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</si>
  <si>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</si>
  <si>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</si>
  <si>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</si>
  <si>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</si>
  <si>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</si>
  <si>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</si>
  <si>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</si>
  <si>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</si>
  <si>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</si>
  <si>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</si>
  <si>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</si>
  <si>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</si>
  <si>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</si>
  <si>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</si>
  <si>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</si>
  <si>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</si>
  <si>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</si>
  <si>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</si>
  <si>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</si>
  <si>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</si>
  <si>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</si>
  <si>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</si>
  <si>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</si>
  <si>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</si>
  <si>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</si>
  <si>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</si>
  <si>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</si>
  <si>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</si>
  <si>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</si>
  <si>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</si>
  <si>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</si>
  <si>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</si>
  <si>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</si>
  <si>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</si>
  <si>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</si>
  <si>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</si>
  <si>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</si>
  <si>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</si>
  <si>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</si>
  <si>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</si>
  <si>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</si>
  <si>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</si>
  <si>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</si>
  <si>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</si>
  <si>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</si>
  <si>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</si>
  <si>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</si>
  <si>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</si>
  <si>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</si>
  <si>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</si>
  <si>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</si>
  <si>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</si>
  <si>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</si>
  <si>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</si>
  <si>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</si>
  <si>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</si>
  <si>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</si>
  <si>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</si>
  <si>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</si>
  <si>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</si>
  <si>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</si>
  <si>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</si>
  <si>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</si>
  <si>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</si>
  <si>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</si>
  <si>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</si>
  <si>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</si>
  <si>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</si>
  <si>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</si>
  <si>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</si>
  <si>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</si>
  <si>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</si>
  <si>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</si>
  <si>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</si>
  <si>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</si>
  <si>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</si>
  <si>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</si>
  <si>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</si>
  <si>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</si>
  <si>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</si>
  <si>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</si>
  <si>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</si>
  <si>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</si>
  <si>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</si>
  <si>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</si>
  <si>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</si>
  <si>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</si>
  <si>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</si>
  <si>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</si>
  <si>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</si>
  <si>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</si>
  <si>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</si>
  <si>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</si>
  <si>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</si>
  <si>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</si>
  <si>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</si>
  <si>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</si>
  <si>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</si>
  <si>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</si>
  <si>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</si>
  <si>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</si>
  <si>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</si>
  <si>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</si>
  <si>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</si>
  <si>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</si>
  <si>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</si>
  <si>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</si>
  <si>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</si>
  <si>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</si>
  <si>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</si>
  <si>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</si>
  <si>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</si>
  <si>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</si>
  <si>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</si>
  <si>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</si>
  <si>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</si>
  <si>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</si>
  <si>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</si>
  <si>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</si>
  <si>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</si>
  <si>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</si>
  <si>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</si>
  <si>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</si>
  <si>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</si>
  <si>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</si>
  <si>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</si>
  <si>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</si>
  <si>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</si>
  <si>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</si>
  <si>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</si>
  <si>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</si>
  <si>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</si>
  <si>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</si>
  <si>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</si>
  <si>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</si>
  <si>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</si>
  <si>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</si>
  <si>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</si>
  <si>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</si>
  <si>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</si>
  <si>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</si>
  <si>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</si>
  <si>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</si>
  <si>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</si>
  <si>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</si>
  <si>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</si>
  <si>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</si>
  <si>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</si>
  <si>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</si>
  <si>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</si>
  <si>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</si>
  <si>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</si>
  <si>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</si>
  <si>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</si>
  <si>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</si>
  <si>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</si>
  <si>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</si>
  <si>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</si>
  <si>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</si>
  <si>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</si>
  <si>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</si>
  <si>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</si>
  <si>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</si>
  <si>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</si>
  <si>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</si>
  <si>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</si>
  <si>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</si>
  <si>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</si>
  <si>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</si>
  <si>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</si>
  <si>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</si>
  <si>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</si>
  <si>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</si>
  <si>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</si>
  <si>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</si>
  <si>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</si>
  <si>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</si>
  <si>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</si>
  <si>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</si>
  <si>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</si>
  <si>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</si>
  <si>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</si>
  <si>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</si>
  <si>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</si>
  <si>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</si>
  <si>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</si>
  <si>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</si>
  <si>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</si>
  <si>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</si>
  <si>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</si>
  <si>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</si>
  <si>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</si>
  <si>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</si>
  <si>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</si>
  <si>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</si>
  <si>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</si>
  <si>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</si>
  <si>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</si>
  <si>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</si>
  <si>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</si>
  <si>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</si>
  <si>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</si>
  <si>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</si>
  <si>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</si>
  <si>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</si>
  <si>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</si>
  <si>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</si>
  <si>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</si>
  <si>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</si>
  <si>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</si>
  <si>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</si>
  <si>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</si>
  <si>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</si>
  <si>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</si>
  <si>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</si>
  <si>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</si>
  <si>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</si>
  <si>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</si>
  <si>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</si>
  <si>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</si>
  <si>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</si>
  <si>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</si>
  <si>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</si>
  <si>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</si>
  <si>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</si>
  <si>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</si>
  <si>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</si>
  <si>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</si>
  <si>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</si>
  <si>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</si>
  <si>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</si>
  <si>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</si>
  <si>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</si>
  <si>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</si>
  <si>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</si>
  <si>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</si>
  <si>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</si>
  <si>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</si>
  <si>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</si>
  <si>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</si>
  <si>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</si>
  <si>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</si>
  <si>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</si>
  <si>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</si>
  <si>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</si>
  <si>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</si>
  <si>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</si>
  <si>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</si>
  <si>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</si>
  <si>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</si>
  <si>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</si>
  <si>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</si>
  <si>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</si>
  <si>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</si>
  <si>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</si>
  <si>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</si>
  <si>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</si>
  <si>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</si>
  <si>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</si>
  <si>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</si>
  <si>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</si>
  <si>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</si>
  <si>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</si>
  <si>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</si>
  <si>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</si>
  <si>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</si>
  <si>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</si>
  <si>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</si>
  <si>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</si>
  <si>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</si>
  <si>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</si>
  <si>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</si>
  <si>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</si>
  <si>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</si>
  <si>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</si>
  <si>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</si>
  <si>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</si>
  <si>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</si>
  <si>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</si>
  <si>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</si>
  <si>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</si>
  <si>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</si>
  <si>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</si>
  <si>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</si>
  <si>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</si>
  <si>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</si>
  <si>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</si>
  <si>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</si>
  <si>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</si>
  <si>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</si>
  <si>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</si>
  <si>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</si>
  <si>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</si>
  <si>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</si>
  <si>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</si>
  <si>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</si>
  <si>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</si>
  <si>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</si>
  <si>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</si>
  <si>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</si>
  <si>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</si>
  <si>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</si>
  <si>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</si>
  <si>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</si>
  <si>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</si>
  <si>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</si>
  <si>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</si>
  <si>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</si>
  <si>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</si>
  <si>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</si>
  <si>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</si>
  <si>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</si>
  <si>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</si>
  <si>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</si>
  <si>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</si>
  <si>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</si>
  <si>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</si>
  <si>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</si>
  <si>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</si>
  <si>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</si>
  <si>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</si>
  <si>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</si>
  <si>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</si>
  <si>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</si>
  <si>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</si>
  <si>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</si>
  <si>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</si>
  <si>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</si>
  <si>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</si>
  <si>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</si>
  <si>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</si>
  <si>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</si>
  <si>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</si>
  <si>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</si>
  <si>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</si>
  <si>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</si>
  <si>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</si>
  <si>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</si>
  <si>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</si>
  <si>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</si>
  <si>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</si>
  <si>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</si>
  <si>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</si>
  <si>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</si>
  <si>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</si>
  <si>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</si>
  <si>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</si>
  <si>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</si>
  <si>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</si>
  <si>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</si>
  <si>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</si>
  <si>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</si>
  <si>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</si>
  <si>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</si>
  <si>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</si>
  <si>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</si>
  <si>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</si>
  <si>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</si>
  <si>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</si>
  <si>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</si>
  <si>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</si>
  <si>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</si>
  <si>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</si>
  <si>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</si>
  <si>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</si>
  <si>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</si>
  <si>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</si>
  <si>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</si>
  <si>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</si>
  <si>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</si>
  <si>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</si>
  <si>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</si>
  <si>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</si>
  <si>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</si>
  <si>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</si>
  <si>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</si>
  <si>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</si>
  <si>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</si>
  <si>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</si>
  <si>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</si>
  <si>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</si>
  <si>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</si>
  <si>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</si>
  <si>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</si>
  <si>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</si>
  <si>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</si>
  <si>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</si>
  <si>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</si>
  <si>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</si>
  <si>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</si>
  <si>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</si>
  <si>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</si>
  <si>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</si>
  <si>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</si>
  <si>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</si>
  <si>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</si>
  <si>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</si>
  <si>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</si>
  <si>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</si>
  <si>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</si>
  <si>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</si>
  <si>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</si>
  <si>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</si>
  <si>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</si>
  <si>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</si>
  <si>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</si>
  <si>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</si>
  <si>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</si>
  <si>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</si>
  <si>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</si>
  <si>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</si>
  <si>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</si>
  <si>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</si>
  <si>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</si>
  <si>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</si>
  <si>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</si>
  <si>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</si>
  <si>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</si>
  <si>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</si>
  <si>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</si>
  <si>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</si>
  <si>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</si>
  <si>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</si>
  <si>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</si>
  <si>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</si>
  <si>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</si>
  <si>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</si>
  <si>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</si>
  <si>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</si>
  <si>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</si>
  <si>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</si>
  <si>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</si>
  <si>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</si>
  <si>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</si>
  <si>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</si>
  <si>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</si>
  <si>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</si>
  <si>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</si>
  <si>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</si>
  <si>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</si>
  <si>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</si>
  <si>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</si>
  <si>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</si>
  <si>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</si>
  <si>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</si>
  <si>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</si>
  <si>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</si>
  <si>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</si>
  <si>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</si>
  <si>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</si>
  <si>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</si>
  <si>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</si>
  <si>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</si>
  <si>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</si>
  <si>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</si>
  <si>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</si>
  <si>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</si>
  <si>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</si>
  <si>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</si>
  <si>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</si>
  <si>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</si>
  <si>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</si>
  <si>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</si>
  <si>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</si>
  <si>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</si>
  <si>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</si>
  <si>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</si>
  <si>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</si>
  <si>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</si>
  <si>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</si>
  <si>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</si>
  <si>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</si>
  <si>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</si>
  <si>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</si>
  <si>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</si>
  <si>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</si>
  <si>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</si>
  <si>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</si>
  <si>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</si>
  <si>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</si>
  <si>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</si>
  <si>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</si>
  <si>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</si>
  <si>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</si>
  <si>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</si>
  <si>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</si>
  <si>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</si>
  <si>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</si>
  <si>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</si>
  <si>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</si>
  <si>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</si>
  <si>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</si>
  <si>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</si>
  <si>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</si>
  <si>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</si>
  <si>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</si>
  <si>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</si>
  <si>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</si>
  <si>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</si>
  <si>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</si>
  <si>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</si>
  <si>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</si>
  <si>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</si>
  <si>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</si>
  <si>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</si>
  <si>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</si>
  <si>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</si>
  <si>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</si>
  <si>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</si>
  <si>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</si>
  <si>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</si>
  <si>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</si>
  <si>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</si>
  <si>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</si>
  <si>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</si>
  <si>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</si>
  <si>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</si>
  <si>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</si>
  <si>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</si>
  <si>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</si>
  <si>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</si>
  <si>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</si>
  <si>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</si>
  <si>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</si>
  <si>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</si>
  <si>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</si>
  <si>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</si>
  <si>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</si>
  <si>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</si>
  <si>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</si>
  <si>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</si>
  <si>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</si>
  <si>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</si>
  <si>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</si>
  <si>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</si>
  <si>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</si>
  <si>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</si>
  <si>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</si>
  <si>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</si>
  <si>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</si>
  <si>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</si>
  <si>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</si>
  <si>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</si>
  <si>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</si>
  <si>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</si>
  <si>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</si>
  <si>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</si>
  <si>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</si>
  <si>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</si>
  <si>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</si>
  <si>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</si>
  <si>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</si>
  <si>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</si>
  <si>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</si>
  <si>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</si>
  <si>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</si>
  <si>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</si>
  <si>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</si>
  <si>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</si>
  <si>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</si>
  <si>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</si>
  <si>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</si>
  <si>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</si>
  <si>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</si>
  <si>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</si>
  <si>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</si>
  <si>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</si>
  <si>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</si>
  <si>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</si>
  <si>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</si>
  <si>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</si>
  <si>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</si>
  <si>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</si>
  <si>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</si>
  <si>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</si>
  <si>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</si>
  <si>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</si>
  <si>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</si>
  <si>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</si>
  <si>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</si>
  <si>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</si>
  <si>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</si>
  <si>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</si>
  <si>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</si>
  <si>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</si>
  <si>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</si>
  <si>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</si>
  <si>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</si>
  <si>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</si>
  <si>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</si>
  <si>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</si>
  <si>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</si>
  <si>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</si>
  <si>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</si>
  <si>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</si>
  <si>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</si>
  <si>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</si>
  <si>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</si>
  <si>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</si>
  <si>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</si>
  <si>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</si>
  <si>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</si>
  <si>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</si>
  <si>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</si>
  <si>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</si>
  <si>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</si>
  <si>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</si>
  <si>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</si>
  <si>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</si>
  <si>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</si>
  <si>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</si>
  <si>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</si>
  <si>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</si>
  <si>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</si>
  <si>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</si>
  <si>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</si>
  <si>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</si>
  <si>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</si>
  <si>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</si>
  <si>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</si>
  <si>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</si>
  <si>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</si>
  <si>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</si>
  <si>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</si>
  <si>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</si>
  <si>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</si>
  <si>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</si>
  <si>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</si>
  <si>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</si>
  <si>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</si>
  <si>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</si>
  <si>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</si>
  <si>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</si>
  <si>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</si>
  <si>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</si>
  <si>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</si>
  <si>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</si>
  <si>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</si>
  <si>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</si>
  <si>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</si>
  <si>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</si>
  <si>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</si>
  <si>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</si>
  <si>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</si>
  <si>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</si>
  <si>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</si>
  <si>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</si>
  <si>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</si>
  <si>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</si>
  <si>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</si>
  <si>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</si>
  <si>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</si>
  <si>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</si>
  <si>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</si>
  <si>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</si>
  <si>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</si>
  <si>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</si>
  <si>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</si>
  <si>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</si>
  <si>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</si>
  <si>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</si>
  <si>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</si>
  <si>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</si>
  <si>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</si>
  <si>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</si>
  <si>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</si>
  <si>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</si>
  <si>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</si>
  <si>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</si>
  <si>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</si>
  <si>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</si>
  <si>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</si>
  <si>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</si>
  <si>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</si>
  <si>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</si>
  <si>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</si>
  <si>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</si>
  <si>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</si>
  <si>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</si>
  <si>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</si>
  <si>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</si>
  <si>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</si>
  <si>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</si>
  <si>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</si>
  <si>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</si>
  <si>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</si>
  <si>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</si>
  <si>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</si>
  <si>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</si>
  <si>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</si>
  <si>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</si>
  <si>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</si>
  <si>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</si>
  <si>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</si>
  <si>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</si>
  <si>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</si>
  <si>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</si>
  <si>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</si>
  <si>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</si>
  <si>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</si>
  <si>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</si>
  <si>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</si>
  <si>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</si>
  <si>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</si>
  <si>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</si>
  <si>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</si>
  <si>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</si>
  <si>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</si>
  <si>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</si>
  <si>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</si>
  <si>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</si>
  <si>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</si>
  <si>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</si>
  <si>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</si>
  <si>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</si>
  <si>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</si>
  <si>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</si>
  <si>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</si>
  <si>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</si>
  <si>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</si>
  <si>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</si>
  <si>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</si>
  <si>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</si>
  <si>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</si>
  <si>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</si>
  <si>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</si>
  <si>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</si>
  <si>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</si>
  <si>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</si>
  <si>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</si>
  <si>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</si>
  <si>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</si>
  <si>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</si>
  <si>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</si>
  <si>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</si>
  <si>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</si>
  <si>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</si>
  <si>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</si>
  <si>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</si>
  <si>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</si>
  <si>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</si>
  <si>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</si>
  <si>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</si>
  <si>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</si>
  <si>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</si>
  <si>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</si>
  <si>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</si>
  <si>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</si>
  <si>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</si>
  <si>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</si>
  <si>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</si>
  <si>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</si>
  <si>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</si>
  <si>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</si>
  <si>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</si>
  <si>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</si>
  <si>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</si>
  <si>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</si>
  <si>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</si>
  <si>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</si>
  <si>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</si>
  <si>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</si>
  <si>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</si>
  <si>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</si>
  <si>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</si>
  <si>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</si>
  <si>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</si>
  <si>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</si>
  <si>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</si>
  <si>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</si>
  <si>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</si>
  <si>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</si>
  <si>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</si>
  <si>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</si>
  <si>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</si>
  <si>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</si>
  <si>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</si>
  <si>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</si>
  <si>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</si>
  <si>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</si>
  <si>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</si>
  <si>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</si>
  <si>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</si>
  <si>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</si>
  <si>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</si>
  <si>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</si>
  <si>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</si>
  <si>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</si>
  <si>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</si>
  <si>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</si>
  <si>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</si>
  <si>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</si>
  <si>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</si>
  <si>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</si>
  <si>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</si>
  <si>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</si>
  <si>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</si>
  <si>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</si>
  <si>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</si>
  <si>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</si>
  <si>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</si>
  <si>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</si>
  <si>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</si>
  <si>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</si>
  <si>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</si>
  <si>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</si>
  <si>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</si>
  <si>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</si>
  <si>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</si>
  <si>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</si>
  <si>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</si>
  <si>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</si>
  <si>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</si>
  <si>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</si>
  <si>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</si>
  <si>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</si>
  <si>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</si>
  <si>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</si>
  <si>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</si>
  <si>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</si>
  <si>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</si>
  <si>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</si>
  <si>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</si>
  <si>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</si>
  <si>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</si>
  <si>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</si>
  <si>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</si>
  <si>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</si>
  <si>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</si>
  <si>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</si>
  <si>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</si>
  <si>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</si>
  <si>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</si>
  <si>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</si>
  <si>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</si>
  <si>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</si>
  <si>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</si>
  <si>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</si>
  <si>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</si>
  <si>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</si>
  <si>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</si>
  <si>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</si>
  <si>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</si>
  <si>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</si>
  <si>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</si>
  <si>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</si>
  <si>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</si>
  <si>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</si>
  <si>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</si>
  <si>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</si>
  <si>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</si>
  <si>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</si>
  <si>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</si>
  <si>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</si>
  <si>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</si>
  <si>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</si>
  <si>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</si>
  <si>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</si>
  <si>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</si>
  <si>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</si>
  <si>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</si>
  <si>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</si>
  <si>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</si>
  <si>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</si>
  <si>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</si>
  <si>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</si>
  <si>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</si>
  <si>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</si>
  <si>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</si>
  <si>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</si>
  <si>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</si>
  <si>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</si>
  <si>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</si>
  <si>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</si>
  <si>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</si>
  <si>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</si>
  <si>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</si>
  <si>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</si>
  <si>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</si>
  <si>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</si>
  <si>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</si>
  <si>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</si>
  <si>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</si>
  <si>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</si>
  <si>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</si>
  <si>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</si>
  <si>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</si>
  <si>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</si>
  <si>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</si>
  <si>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</si>
  <si>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</si>
  <si>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</si>
  <si>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</si>
  <si>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</si>
  <si>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</si>
  <si>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</si>
  <si>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</si>
  <si>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</si>
  <si>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</si>
  <si>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</si>
  <si>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</si>
  <si>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</si>
  <si>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</si>
  <si>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</si>
  <si>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</si>
  <si>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</si>
  <si>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</si>
  <si>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</si>
  <si>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</si>
  <si>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</si>
  <si>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</si>
  <si>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</si>
  <si>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</si>
  <si>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</si>
  <si>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</si>
  <si>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</si>
  <si>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</si>
  <si>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</si>
  <si>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</si>
  <si>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</si>
  <si>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</si>
  <si>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</si>
  <si>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</si>
  <si>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</si>
  <si>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</si>
  <si>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</si>
  <si>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</si>
  <si>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</si>
  <si>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</si>
  <si>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</si>
  <si>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</si>
  <si>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</si>
  <si>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</si>
  <si>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</si>
  <si>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</si>
  <si>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</si>
  <si>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</si>
  <si>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</si>
  <si>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</si>
  <si>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</si>
  <si>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</si>
  <si>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</si>
  <si>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</si>
  <si>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</si>
  <si>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</si>
  <si>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</si>
  <si>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</si>
  <si>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</si>
  <si>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</si>
  <si>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</si>
  <si>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</si>
  <si>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</si>
  <si>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</si>
  <si>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</si>
  <si>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</si>
  <si>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</si>
  <si>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</si>
  <si>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</si>
  <si>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</si>
  <si>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</si>
  <si>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</si>
  <si>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</si>
  <si>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</si>
  <si>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</si>
  <si>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</si>
  <si>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</si>
  <si>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</si>
  <si>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</si>
  <si>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</si>
  <si>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</si>
  <si>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</si>
  <si>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</si>
  <si>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</si>
  <si>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</si>
  <si>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</si>
  <si>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</si>
  <si>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</si>
  <si>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</si>
  <si>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</si>
  <si>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</si>
  <si>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</si>
  <si>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</si>
  <si>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</si>
  <si>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</si>
  <si>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</si>
  <si>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</si>
  <si>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</si>
  <si>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</si>
  <si>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</si>
  <si>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</si>
  <si>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</si>
  <si>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</si>
  <si>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</si>
  <si>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</si>
  <si>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</si>
  <si>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</si>
  <si>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</si>
  <si>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</si>
  <si>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</si>
  <si>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</si>
  <si>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</si>
  <si>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</si>
  <si>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</si>
  <si>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</si>
  <si>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</si>
  <si>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</si>
  <si>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</si>
  <si>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</si>
  <si>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</si>
  <si>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</si>
  <si>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</si>
  <si>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</si>
  <si>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</si>
  <si>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</si>
  <si>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</si>
  <si>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</si>
  <si>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</si>
  <si>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</si>
  <si>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</si>
  <si>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</si>
  <si>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</si>
  <si>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</si>
  <si>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</si>
  <si>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</si>
  <si>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</si>
  <si>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</si>
  <si>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</si>
  <si>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</si>
  <si>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</si>
  <si>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</si>
  <si>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</si>
  <si>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</si>
  <si>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</si>
  <si>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</si>
  <si>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</si>
  <si>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</si>
  <si>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</si>
  <si>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</si>
  <si>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</si>
  <si>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</si>
  <si>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</si>
  <si>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</si>
  <si>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</si>
  <si>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</si>
  <si>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</si>
  <si>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</si>
  <si>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</si>
  <si>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</si>
  <si>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</si>
  <si>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</si>
  <si>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</si>
  <si>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</si>
  <si>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</si>
  <si>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</si>
  <si>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</si>
  <si>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</si>
  <si>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</si>
  <si>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</si>
  <si>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</si>
  <si>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</si>
  <si>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</si>
  <si>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</si>
  <si>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</si>
  <si>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</si>
  <si>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</si>
  <si>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</si>
  <si>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</si>
  <si>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</si>
  <si>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</si>
  <si>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</si>
  <si>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</si>
  <si>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</si>
  <si>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</si>
  <si>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</si>
  <si>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</si>
  <si>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</si>
  <si>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</si>
  <si>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</si>
  <si>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</si>
  <si>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</si>
  <si>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</si>
  <si>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</si>
  <si>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</si>
  <si>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</si>
  <si>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</si>
  <si>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</si>
  <si>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</si>
  <si>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</si>
  <si>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</si>
  <si>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</si>
  <si>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</si>
  <si>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</si>
  <si>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</si>
  <si>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</si>
  <si>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</si>
  <si>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</si>
  <si>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</si>
  <si>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</si>
  <si>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</si>
  <si>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</si>
  <si>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</si>
  <si>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</si>
  <si>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</si>
  <si>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</si>
  <si>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</si>
  <si>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</si>
  <si>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</si>
  <si>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</si>
  <si>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</si>
  <si>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</si>
  <si>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</si>
  <si>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</si>
  <si>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</si>
  <si>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</si>
  <si>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</si>
  <si>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</si>
  <si>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</si>
  <si>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</si>
  <si>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</si>
  <si>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</si>
  <si>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</si>
  <si>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</si>
  <si>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</si>
  <si>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</si>
  <si>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</si>
  <si>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</si>
  <si>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</si>
  <si>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</si>
  <si>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</si>
  <si>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</si>
  <si>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</si>
  <si>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</si>
  <si>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</si>
  <si>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</si>
  <si>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</si>
  <si>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</si>
  <si>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</si>
  <si>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</si>
  <si>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</si>
  <si>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</si>
  <si>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</si>
  <si>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</si>
  <si>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</si>
  <si>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</si>
  <si>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</si>
  <si>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</si>
  <si>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</si>
  <si>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</si>
  <si>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</si>
  <si>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</si>
  <si>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</si>
  <si>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</si>
  <si>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</si>
  <si>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</si>
  <si>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</si>
  <si>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</si>
  <si>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</si>
  <si>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</si>
  <si>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</si>
  <si>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</si>
  <si>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</si>
  <si>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</si>
  <si>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</si>
  <si>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</si>
  <si>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</si>
  <si>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</si>
  <si>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</si>
  <si>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</si>
  <si>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</si>
  <si>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</si>
  <si>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</si>
  <si>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</si>
  <si>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</si>
  <si>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</si>
  <si>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</si>
  <si>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</si>
  <si>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</si>
  <si>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</si>
  <si>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</si>
  <si>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</si>
  <si>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</si>
  <si>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</si>
  <si>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</si>
  <si>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</si>
  <si>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</si>
  <si>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</si>
  <si>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</si>
  <si>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</si>
  <si>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</si>
  <si>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</si>
  <si>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</si>
  <si>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</si>
  <si>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</si>
  <si>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</si>
  <si>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</si>
  <si>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</si>
  <si>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</si>
  <si>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</si>
  <si>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</si>
  <si>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</si>
  <si>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</si>
  <si>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</si>
  <si>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</si>
  <si>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</si>
  <si>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</si>
  <si>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</si>
  <si>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</si>
  <si>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</si>
  <si>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</si>
  <si>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</si>
  <si>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</si>
  <si>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</si>
  <si>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</si>
  <si>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</si>
  <si>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</si>
  <si>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</si>
  <si>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</si>
  <si>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</si>
  <si>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</si>
  <si>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</si>
  <si>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</si>
  <si>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</si>
  <si>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</si>
  <si>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</si>
  <si>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</si>
  <si>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</si>
  <si>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</si>
  <si>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</si>
  <si>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</si>
  <si>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</si>
  <si>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</si>
  <si>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</si>
  <si>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</si>
  <si>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</si>
  <si>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</si>
  <si>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</si>
  <si>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</si>
  <si>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</si>
  <si>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</si>
  <si>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</si>
  <si>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</si>
  <si>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</si>
  <si>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</si>
  <si>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</si>
  <si>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</si>
  <si>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</si>
  <si>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</si>
  <si>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</si>
  <si>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</si>
  <si>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</si>
  <si>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</si>
  <si>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</si>
  <si>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</si>
  <si>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</si>
  <si>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</si>
  <si>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</si>
  <si>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</si>
  <si>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</si>
  <si>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</si>
  <si>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</si>
  <si>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</si>
  <si>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</si>
  <si>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</si>
  <si>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</si>
  <si>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</si>
  <si>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</si>
  <si>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</si>
  <si>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</si>
  <si>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</si>
  <si>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</si>
  <si>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</si>
  <si>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</si>
  <si>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</si>
  <si>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</si>
  <si>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</si>
  <si>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</si>
  <si>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</si>
  <si>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</si>
  <si>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</si>
  <si>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</si>
  <si>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</si>
  <si>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</si>
  <si>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</si>
  <si>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</si>
  <si>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</si>
  <si>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</si>
  <si>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</si>
  <si>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</si>
  <si>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</si>
  <si>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</si>
  <si>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</si>
  <si>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</si>
  <si>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</si>
  <si>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</si>
  <si>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</si>
  <si>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</si>
  <si>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</si>
  <si>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</si>
  <si>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</si>
  <si>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</si>
  <si>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</si>
  <si>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</si>
  <si>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</si>
  <si>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</si>
  <si>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</si>
  <si>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</si>
  <si>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</si>
  <si>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</si>
  <si>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</si>
  <si>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</si>
  <si>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</si>
  <si>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</si>
  <si>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</si>
  <si>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</si>
  <si>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</si>
  <si>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</si>
  <si>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</si>
  <si>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</si>
  <si>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</si>
  <si>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</si>
  <si>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</si>
  <si>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</si>
  <si>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</si>
  <si>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</si>
  <si>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</si>
  <si>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</si>
  <si>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</si>
  <si>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</si>
  <si>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</si>
  <si>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</si>
  <si>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</si>
  <si>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</si>
  <si>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</si>
  <si>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</si>
  <si>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</si>
  <si>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</si>
  <si>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</si>
  <si>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</si>
  <si>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</si>
  <si>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</si>
  <si>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</si>
  <si>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</si>
  <si>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</si>
  <si>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</si>
  <si>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</si>
  <si>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</si>
  <si>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</si>
  <si>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</si>
  <si>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</si>
  <si>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</si>
  <si>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</si>
  <si>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</si>
  <si>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</si>
  <si>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</si>
  <si>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</si>
  <si>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</si>
  <si>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</si>
  <si>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</si>
  <si>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</si>
  <si>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</si>
  <si>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</si>
  <si>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</si>
  <si>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</si>
  <si>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</si>
  <si>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</si>
  <si>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</si>
  <si>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</si>
  <si>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</si>
  <si>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</si>
  <si>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</si>
  <si>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</si>
  <si>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</si>
  <si>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</si>
  <si>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</si>
  <si>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</si>
  <si>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</si>
  <si>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</si>
  <si>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</si>
  <si>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</si>
  <si>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</si>
  <si>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</si>
  <si>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</si>
  <si>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</si>
  <si>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</si>
  <si>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</si>
  <si>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</si>
  <si>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</si>
  <si>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</si>
  <si>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</si>
  <si>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</si>
  <si>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</si>
  <si>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</si>
  <si>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</si>
  <si>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</si>
  <si>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</si>
  <si>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</si>
  <si>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</si>
  <si>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</si>
  <si>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</si>
  <si>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</si>
  <si>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</si>
  <si>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</si>
  <si>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</si>
  <si>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</si>
  <si>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</si>
  <si>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</si>
  <si>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</si>
  <si>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</si>
  <si>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</si>
  <si>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</si>
  <si>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</si>
  <si>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</si>
  <si>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</si>
  <si>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</si>
  <si>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</si>
  <si>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</si>
  <si>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</si>
  <si>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</si>
  <si>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</si>
  <si>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</si>
  <si>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</si>
  <si>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</si>
  <si>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</si>
  <si>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</si>
  <si>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</si>
  <si>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</si>
  <si>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</si>
  <si>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</si>
  <si>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</si>
  <si>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</si>
  <si>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</si>
  <si>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</si>
  <si>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</si>
  <si>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</si>
  <si>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</si>
  <si>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</si>
  <si>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</si>
  <si>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</si>
  <si>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</si>
  <si>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</si>
  <si>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</si>
  <si>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</si>
  <si>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</si>
  <si>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</si>
  <si>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</si>
  <si>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</si>
  <si>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</si>
  <si>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</si>
  <si>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</si>
  <si>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</si>
  <si>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</si>
  <si>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</si>
  <si>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</si>
  <si>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</si>
  <si>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</si>
  <si>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</si>
  <si>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</si>
  <si>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</si>
  <si>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</si>
  <si>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</si>
  <si>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</si>
  <si>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</si>
  <si>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</si>
  <si>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</si>
  <si>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</si>
  <si>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</si>
  <si>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</si>
  <si>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</si>
  <si>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</si>
  <si>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</si>
  <si>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</si>
  <si>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</si>
  <si>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</si>
  <si>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</si>
  <si>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</si>
  <si>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</si>
  <si>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</si>
  <si>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</si>
  <si>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</si>
  <si>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</si>
  <si>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</si>
  <si>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</si>
  <si>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</si>
  <si>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</si>
  <si>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</si>
  <si>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</si>
  <si>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</si>
  <si>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</si>
  <si>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</si>
  <si>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</si>
  <si>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</si>
  <si>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</si>
  <si>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</si>
  <si>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</si>
  <si>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</si>
  <si>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</si>
  <si>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</si>
  <si>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</si>
  <si>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</si>
  <si>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</si>
  <si>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</si>
  <si>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</si>
  <si>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</si>
  <si>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</si>
  <si>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</si>
  <si>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</si>
  <si>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</si>
  <si>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</si>
  <si>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</si>
  <si>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</si>
  <si>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</si>
  <si>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</si>
  <si>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</si>
  <si>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</si>
  <si>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</si>
  <si>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</si>
  <si>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</si>
  <si>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</si>
  <si>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</si>
  <si>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</si>
  <si>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</si>
  <si>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</si>
  <si>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</si>
  <si>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</si>
  <si>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</si>
  <si>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</si>
  <si>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</si>
  <si>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</si>
  <si>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</si>
  <si>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</si>
  <si>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</si>
  <si>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</si>
  <si>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</si>
  <si>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</si>
  <si>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</si>
  <si>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</si>
  <si>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</si>
  <si>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</si>
  <si>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</si>
  <si>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</si>
  <si>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</si>
  <si>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</si>
  <si>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</si>
  <si>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</si>
  <si>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</si>
  <si>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</si>
  <si>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</si>
  <si>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</si>
  <si>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</si>
  <si>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</si>
  <si>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</si>
  <si>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</si>
  <si>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</si>
  <si>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</si>
  <si>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</si>
  <si>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</si>
  <si>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</si>
  <si>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</si>
  <si>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</si>
  <si>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</si>
  <si>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</si>
  <si>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</si>
  <si>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</si>
  <si>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</si>
  <si>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</si>
  <si>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</si>
  <si>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</si>
  <si>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</si>
  <si>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</si>
  <si>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</si>
  <si>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</si>
  <si>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</si>
  <si>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</si>
  <si>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</si>
  <si>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</si>
  <si>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</si>
  <si>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</si>
  <si>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</si>
  <si>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</si>
  <si>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</si>
  <si>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</si>
  <si>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</si>
  <si>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</si>
  <si>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</si>
  <si>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</si>
  <si>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</si>
  <si>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</si>
  <si>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</si>
  <si>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</si>
  <si>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</si>
  <si>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</si>
  <si>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</si>
  <si>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</si>
  <si>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</si>
  <si>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</si>
  <si>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</si>
  <si>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</si>
  <si>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</si>
  <si>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</si>
  <si>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</si>
  <si>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</si>
  <si>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</si>
  <si>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</si>
  <si>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</si>
  <si>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</si>
  <si>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</si>
  <si>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</si>
  <si>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</si>
  <si>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</si>
  <si>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</si>
  <si>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</si>
  <si>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</si>
  <si>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</si>
  <si>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</si>
  <si>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</si>
  <si>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</si>
  <si>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</si>
  <si>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</si>
  <si>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</si>
  <si>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</si>
  <si>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</si>
  <si>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</si>
  <si>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</si>
  <si>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</si>
  <si>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</si>
  <si>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</si>
  <si>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</si>
  <si>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</si>
  <si>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</si>
  <si>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</si>
  <si>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</si>
  <si>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</si>
  <si>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</si>
  <si>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</si>
  <si>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</si>
  <si>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</si>
  <si>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</si>
  <si>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</si>
  <si>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</si>
  <si>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</si>
  <si>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</si>
  <si>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</si>
  <si>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</si>
  <si>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</si>
  <si>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</si>
  <si>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</si>
  <si>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</si>
  <si>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</si>
  <si>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</si>
  <si>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</si>
  <si>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</si>
  <si>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</si>
  <si>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</si>
  <si>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</si>
  <si>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</si>
  <si>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</si>
  <si>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</si>
  <si>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</si>
  <si>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</si>
  <si>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</si>
  <si>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</si>
  <si>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</si>
  <si>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</si>
  <si>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</si>
  <si>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</si>
  <si>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</si>
  <si>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</si>
  <si>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</si>
  <si>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</si>
  <si>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</si>
  <si>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</si>
  <si>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</si>
  <si>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</si>
  <si>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</si>
  <si>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</si>
  <si>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</si>
  <si>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</si>
  <si>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</si>
  <si>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</si>
  <si>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</si>
  <si>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</si>
  <si>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</si>
  <si>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</si>
  <si>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</si>
  <si>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</si>
  <si>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</si>
  <si>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</si>
  <si>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</si>
  <si>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</si>
  <si>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</si>
  <si>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</si>
  <si>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</si>
  <si>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</si>
  <si>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</si>
  <si>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</si>
  <si>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</si>
  <si>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</si>
  <si>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</si>
  <si>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</si>
  <si>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</si>
  <si>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</si>
  <si>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</si>
  <si>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</si>
  <si>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</si>
  <si>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</si>
  <si>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</si>
  <si>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</si>
  <si>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</si>
  <si>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</si>
  <si>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</si>
  <si>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</si>
  <si>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</si>
  <si>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</si>
  <si>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</si>
  <si>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</si>
  <si>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</si>
  <si>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</si>
  <si>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</si>
  <si>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</si>
  <si>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</si>
  <si>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</si>
  <si>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</si>
  <si>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</si>
  <si>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</si>
  <si>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</si>
  <si>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</si>
  <si>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</si>
  <si>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</si>
  <si>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</si>
  <si>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</si>
  <si>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</si>
  <si>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</si>
  <si>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</si>
  <si>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</si>
  <si>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</si>
  <si>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</si>
  <si>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</si>
  <si>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</si>
  <si>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</si>
  <si>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</si>
  <si>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</si>
  <si>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</si>
  <si>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</si>
  <si>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</si>
  <si>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</si>
  <si>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</si>
  <si>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</si>
  <si>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</si>
  <si>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</si>
  <si>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</si>
  <si>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</si>
  <si>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</si>
  <si>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</si>
  <si>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</si>
  <si>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</si>
  <si>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</si>
  <si>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</si>
  <si>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</si>
  <si>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</si>
  <si>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</si>
  <si>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</si>
  <si>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</si>
  <si>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</si>
  <si>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</si>
  <si>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</si>
  <si>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</si>
  <si>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</si>
  <si>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</si>
  <si>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</si>
  <si>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</si>
  <si>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</si>
  <si>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</si>
  <si>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</si>
  <si>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</si>
  <si>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</si>
  <si>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</si>
  <si>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</si>
  <si>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</si>
  <si>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</si>
  <si>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</si>
  <si>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</si>
  <si>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</si>
  <si>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</si>
  <si>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</si>
  <si>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</si>
  <si>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</si>
  <si>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</si>
  <si>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</si>
  <si>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</si>
  <si>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</si>
  <si>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</si>
  <si>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</si>
  <si>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</si>
  <si>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</si>
  <si>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</si>
  <si>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</si>
  <si>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</si>
  <si>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</si>
  <si>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</si>
  <si>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</si>
  <si>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</si>
  <si>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</si>
  <si>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</si>
  <si>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</si>
  <si>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</si>
  <si>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</si>
  <si>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</si>
  <si>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</si>
  <si>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</si>
  <si>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</si>
  <si>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</si>
  <si>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</si>
  <si>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</si>
  <si>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</si>
  <si>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</si>
  <si>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</si>
  <si>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</si>
  <si>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</si>
  <si>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</si>
  <si>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</si>
  <si>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</si>
  <si>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</si>
  <si>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</si>
  <si>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</si>
  <si>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</si>
  <si>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</si>
  <si>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</si>
  <si>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</si>
  <si>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</si>
  <si>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</si>
  <si>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</si>
  <si>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</si>
  <si>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</si>
  <si>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</si>
  <si>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</si>
  <si>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</si>
  <si>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</si>
  <si>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</si>
  <si>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</si>
  <si>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</si>
  <si>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</si>
  <si>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</si>
  <si>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</si>
  <si>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</si>
  <si>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</si>
  <si>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</si>
  <si>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</si>
  <si>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</si>
  <si>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</si>
  <si>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</si>
  <si>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</si>
  <si>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</si>
  <si>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</si>
  <si>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</si>
  <si>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</si>
  <si>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</si>
  <si>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</si>
  <si>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</si>
  <si>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</si>
  <si>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</si>
  <si>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</si>
  <si>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</si>
  <si>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</si>
  <si>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</si>
  <si>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</si>
  <si>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</si>
  <si>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</si>
  <si>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</si>
  <si>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</si>
  <si>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</si>
  <si>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</si>
  <si>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</si>
  <si>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</si>
  <si>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</si>
  <si>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</si>
  <si>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</si>
  <si>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</si>
  <si>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</si>
  <si>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</si>
  <si>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</si>
  <si>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</si>
  <si>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</si>
  <si>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</si>
  <si>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</si>
  <si>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</si>
  <si>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</si>
  <si>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</si>
  <si>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</si>
  <si>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</si>
  <si>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</si>
  <si>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</si>
  <si>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</si>
  <si>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</si>
  <si>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</si>
  <si>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</si>
  <si>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</si>
  <si>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</si>
  <si>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</si>
  <si>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</si>
  <si>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</si>
  <si>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</si>
  <si>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</si>
  <si>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</si>
  <si>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</si>
  <si>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</si>
  <si>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</si>
  <si>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</si>
  <si>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</si>
  <si>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</si>
  <si>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</si>
  <si>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</si>
  <si>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</si>
  <si>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</si>
  <si>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</si>
  <si>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</si>
  <si>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</si>
  <si>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</si>
  <si>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</si>
  <si>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</si>
  <si>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</si>
  <si>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</si>
  <si>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</si>
  <si>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</si>
  <si>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</si>
  <si>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</si>
  <si>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</si>
  <si>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</si>
  <si>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</si>
  <si>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</si>
  <si>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</si>
  <si>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</si>
  <si>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</si>
  <si>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</si>
  <si>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</si>
  <si>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</si>
  <si>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</si>
  <si>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</si>
  <si>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</si>
  <si>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</si>
  <si>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</si>
  <si>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</si>
  <si>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</si>
  <si>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</si>
  <si>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</si>
  <si>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</si>
  <si>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</si>
  <si>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</si>
  <si>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</si>
  <si>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</si>
  <si>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</si>
  <si>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</si>
  <si>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</si>
  <si>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</si>
  <si>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</si>
  <si>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</si>
  <si>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</si>
  <si>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</si>
  <si>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</si>
  <si>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</si>
  <si>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</si>
  <si>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</si>
  <si>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</si>
  <si>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</si>
  <si>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</si>
  <si>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</si>
  <si>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</si>
  <si>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</si>
  <si>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</si>
  <si>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</si>
  <si>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</si>
  <si>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</si>
  <si>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</si>
  <si>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</si>
  <si>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</si>
  <si>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</si>
  <si>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</si>
  <si>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</si>
  <si>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</si>
  <si>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</si>
  <si>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</si>
  <si>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</si>
  <si>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</si>
  <si>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</si>
  <si>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</si>
  <si>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</si>
  <si>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</si>
  <si>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</si>
  <si>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</si>
  <si>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</si>
  <si>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</si>
  <si>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</si>
  <si>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</si>
  <si>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</si>
  <si>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</si>
  <si>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</si>
  <si>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</si>
  <si>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</si>
  <si>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</si>
  <si>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</si>
  <si>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</si>
  <si>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</si>
  <si>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</si>
  <si>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</si>
  <si>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</si>
  <si>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</si>
  <si>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</si>
  <si>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</si>
  <si>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</si>
  <si>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</si>
  <si>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</si>
  <si>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</si>
  <si>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</si>
  <si>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</si>
  <si>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</si>
  <si>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</si>
  <si>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</si>
  <si>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</si>
  <si>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</si>
  <si>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</si>
  <si>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</si>
  <si>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</si>
  <si>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</si>
  <si>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</si>
  <si>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</si>
  <si>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</si>
  <si>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</si>
  <si>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</si>
  <si>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</si>
  <si>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</si>
  <si>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</si>
  <si>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</si>
  <si>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</si>
  <si>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</si>
  <si>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</si>
  <si>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</si>
  <si>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</si>
  <si>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</si>
  <si>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</si>
  <si>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</si>
  <si>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</si>
  <si>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</si>
  <si>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</si>
  <si>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</si>
  <si>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</si>
  <si>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</si>
  <si>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</si>
  <si>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</si>
  <si>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</si>
  <si>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</si>
  <si>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</si>
  <si>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</si>
  <si>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</si>
  <si>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</si>
  <si>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</si>
  <si>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</si>
  <si>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</si>
  <si>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</si>
  <si>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</si>
  <si>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</si>
  <si>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</si>
  <si>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</si>
  <si>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</si>
  <si>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</si>
  <si>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</si>
  <si>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</si>
  <si>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</si>
  <si>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</si>
  <si>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</si>
  <si>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</si>
  <si>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</si>
  <si>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</si>
  <si>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</si>
  <si>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</si>
  <si>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</si>
  <si>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</si>
  <si>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</si>
  <si>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</si>
  <si>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</si>
  <si>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</si>
  <si>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</si>
  <si>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</si>
  <si>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</si>
  <si>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</si>
  <si>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</si>
  <si>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</si>
  <si>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</si>
  <si>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</si>
  <si>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</si>
  <si>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</si>
  <si>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</si>
  <si>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</si>
  <si>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</si>
  <si>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</si>
  <si>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</si>
  <si>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</si>
  <si>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</si>
  <si>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</si>
  <si>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</si>
  <si>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</si>
  <si>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</si>
  <si>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</si>
  <si>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</si>
  <si>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</si>
  <si>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</si>
  <si>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</si>
  <si>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</si>
  <si>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</si>
  <si>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</si>
  <si>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</si>
  <si>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</si>
  <si>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</si>
  <si>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</si>
  <si>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</si>
  <si>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</si>
  <si>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</si>
  <si>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</si>
  <si>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</si>
  <si>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</si>
  <si>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</si>
  <si>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</si>
  <si>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</si>
  <si>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</si>
  <si>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</si>
  <si>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</si>
  <si>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</si>
  <si>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</si>
  <si>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</si>
  <si>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</si>
  <si>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</si>
  <si>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</si>
  <si>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</si>
  <si>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</si>
  <si>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</si>
  <si>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</si>
  <si>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</si>
  <si>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</si>
  <si>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</si>
  <si>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</si>
  <si>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</si>
  <si>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</si>
  <si>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</si>
  <si>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</si>
  <si>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</si>
  <si>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</si>
  <si>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</si>
  <si>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</si>
  <si>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</si>
  <si>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</si>
  <si>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</si>
  <si>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</si>
  <si>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</si>
  <si>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</si>
  <si>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</si>
  <si>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</si>
  <si>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</si>
  <si>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</si>
  <si>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</si>
  <si>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</si>
  <si>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</si>
  <si>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</si>
  <si>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</si>
  <si>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</si>
  <si>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</si>
  <si>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</si>
  <si>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</si>
  <si>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</si>
  <si>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</si>
  <si>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</si>
  <si>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</si>
  <si>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</si>
  <si>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</si>
  <si>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</si>
  <si>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</si>
  <si>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</si>
  <si>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</si>
  <si>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</si>
  <si>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</si>
  <si>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</si>
  <si>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</si>
  <si>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</si>
  <si>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</si>
  <si>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</si>
  <si>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</si>
  <si>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</si>
  <si>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</si>
  <si>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</si>
  <si>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</si>
  <si>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</si>
  <si>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</si>
  <si>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</si>
  <si>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</si>
  <si>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</si>
  <si>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</si>
  <si>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</si>
  <si>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</si>
  <si>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</si>
  <si>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</si>
  <si>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</si>
  <si>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</si>
  <si>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</si>
  <si>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</si>
  <si>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</si>
  <si>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</si>
  <si>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</si>
  <si>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</si>
  <si>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</si>
  <si>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</si>
  <si>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</si>
  <si>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</si>
  <si>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</si>
  <si>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</si>
  <si>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</si>
  <si>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</si>
  <si>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</si>
  <si>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</si>
  <si>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</si>
  <si>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</si>
  <si>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</si>
  <si>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</si>
  <si>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</si>
  <si>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</si>
  <si>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</si>
  <si>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</si>
  <si>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</si>
  <si>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</si>
  <si>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</si>
  <si>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</si>
  <si>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</si>
  <si>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</si>
  <si>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</si>
  <si>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</si>
  <si>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</si>
  <si>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</si>
  <si>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</si>
  <si>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</si>
  <si>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</si>
  <si>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</si>
  <si>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</si>
  <si>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</si>
  <si>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</si>
  <si>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</si>
  <si>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</si>
  <si>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</si>
  <si>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</si>
  <si>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</si>
  <si>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</si>
  <si>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</si>
  <si>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</si>
  <si>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</si>
  <si>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</si>
  <si>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</si>
  <si>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</si>
  <si>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</si>
  <si>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</si>
  <si>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</si>
  <si>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</si>
  <si>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</si>
  <si>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</si>
  <si>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</si>
  <si>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</si>
  <si>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</si>
  <si>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</si>
  <si>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</si>
  <si>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</si>
  <si>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</si>
  <si>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</si>
  <si>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</si>
  <si>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</si>
  <si>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</si>
  <si>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</si>
  <si>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</si>
  <si>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</si>
  <si>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</si>
  <si>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</si>
  <si>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</si>
  <si>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</si>
  <si>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</si>
  <si>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</si>
  <si>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</si>
  <si>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</si>
  <si>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</si>
  <si>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</si>
  <si>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</si>
  <si>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</si>
  <si>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</si>
  <si>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</si>
  <si>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</si>
  <si>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</si>
  <si>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</si>
  <si>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</si>
  <si>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</si>
  <si>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</si>
  <si>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</si>
  <si>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</si>
  <si>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</si>
  <si>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</si>
  <si>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</si>
  <si>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</si>
  <si>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</si>
  <si>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</si>
  <si>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</si>
  <si>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</si>
  <si>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</si>
  <si>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</si>
  <si>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</si>
  <si>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</si>
  <si>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</si>
  <si>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</si>
  <si>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</si>
  <si>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</si>
  <si>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</si>
  <si>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</si>
  <si>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</si>
  <si>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</si>
  <si>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</si>
  <si>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</si>
  <si>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</si>
  <si>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</si>
  <si>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</si>
  <si>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</si>
  <si>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</si>
  <si>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</si>
  <si>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</si>
  <si>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</si>
  <si>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</si>
  <si>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</si>
  <si>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</si>
  <si>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</si>
  <si>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</si>
  <si>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</si>
  <si>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</si>
  <si>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</si>
  <si>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</si>
  <si>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</si>
  <si>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</si>
  <si>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</si>
  <si>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</si>
  <si>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</si>
  <si>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</si>
  <si>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</si>
  <si>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</si>
  <si>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</si>
  <si>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</si>
  <si>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</si>
  <si>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</si>
  <si>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</si>
  <si>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</si>
  <si>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</si>
  <si>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</si>
  <si>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</si>
  <si>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</si>
  <si>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</si>
  <si>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</si>
  <si>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</si>
  <si>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</si>
  <si>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</si>
  <si>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</si>
  <si>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</si>
  <si>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</si>
  <si>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</si>
  <si>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</si>
  <si>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</si>
  <si>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</si>
  <si>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</si>
  <si>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</si>
  <si>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</si>
  <si>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</si>
  <si>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</si>
  <si>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</si>
  <si>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</si>
  <si>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</si>
  <si>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</si>
  <si>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</si>
  <si>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</si>
  <si>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</si>
  <si>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</si>
  <si>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</si>
  <si>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</si>
  <si>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</si>
  <si>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</si>
  <si>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</si>
  <si>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</si>
  <si>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</si>
  <si>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</si>
  <si>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</si>
  <si>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</si>
  <si>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</si>
  <si>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</si>
  <si>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</si>
  <si>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</si>
  <si>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</si>
  <si>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</si>
  <si>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</si>
  <si>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</si>
  <si>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</si>
  <si>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</si>
  <si>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</si>
  <si>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</si>
  <si>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</si>
  <si>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</si>
  <si>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</si>
  <si>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</si>
  <si>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</si>
  <si>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</si>
  <si>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</si>
  <si>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</si>
  <si>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</si>
  <si>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</si>
  <si>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</si>
  <si>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</si>
  <si>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</si>
  <si>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</si>
  <si>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</si>
  <si>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</si>
  <si>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</si>
  <si>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</si>
  <si>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</si>
  <si>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</si>
  <si>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</si>
  <si>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</si>
  <si>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</si>
  <si>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</si>
  <si>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</si>
  <si>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</si>
  <si>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</si>
  <si>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</si>
  <si>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</si>
  <si>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</si>
  <si>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</si>
  <si>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</si>
  <si>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</si>
  <si>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</si>
  <si>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</si>
  <si>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</si>
  <si>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</si>
  <si>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</si>
  <si>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</si>
  <si>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</si>
  <si>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</si>
  <si>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</si>
  <si>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</si>
  <si>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</si>
  <si>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</si>
  <si>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</si>
  <si>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</si>
  <si>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</si>
  <si>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</si>
  <si>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</si>
  <si>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</si>
  <si>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</si>
  <si>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</si>
  <si>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</si>
  <si>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</si>
  <si>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</si>
  <si>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</si>
  <si>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</si>
  <si>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</si>
  <si>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</si>
  <si>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</si>
  <si>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</si>
  <si>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</si>
  <si>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</si>
  <si>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</si>
  <si>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</si>
  <si>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</si>
  <si>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</si>
  <si>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</si>
  <si>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</si>
  <si>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</si>
  <si>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</si>
  <si>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</si>
  <si>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</si>
  <si>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</si>
  <si>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</si>
  <si>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</si>
  <si>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</si>
  <si>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</si>
  <si>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</si>
  <si>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</si>
  <si>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</si>
  <si>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</si>
  <si>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</si>
  <si>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</si>
  <si>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</si>
  <si>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</si>
  <si>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</si>
  <si>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</si>
  <si>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</si>
  <si>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</si>
  <si>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</si>
  <si>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</si>
  <si>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</si>
  <si>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</si>
  <si>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</si>
  <si>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</si>
  <si>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</si>
  <si>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</si>
  <si>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</si>
  <si>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</si>
  <si>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</si>
  <si>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</si>
  <si>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</si>
  <si>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</si>
  <si>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</si>
  <si>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</si>
  <si>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</si>
  <si>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</si>
  <si>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</si>
  <si>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</si>
  <si>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</si>
  <si>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</si>
  <si>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</si>
  <si>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</si>
  <si>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</si>
  <si>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</si>
  <si>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</si>
  <si>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</si>
  <si>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</si>
  <si>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</si>
  <si>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</si>
  <si>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</si>
  <si>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</si>
  <si>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</si>
  <si>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</si>
  <si>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</si>
  <si>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</si>
  <si>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</si>
  <si>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</si>
  <si>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</si>
  <si>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</si>
  <si>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</si>
  <si>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</si>
  <si>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</si>
  <si>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</si>
  <si>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</si>
  <si>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</si>
  <si>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</si>
  <si>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</si>
  <si>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</si>
  <si>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</si>
  <si>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</si>
  <si>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</si>
  <si>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</si>
  <si>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</si>
  <si>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</si>
  <si>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</si>
  <si>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</si>
  <si>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</si>
  <si>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</si>
  <si>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</si>
  <si>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</si>
  <si>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</si>
  <si>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</si>
  <si>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</si>
  <si>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</si>
  <si>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</si>
  <si>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</si>
  <si>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</si>
  <si>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</si>
  <si>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</si>
  <si>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</si>
  <si>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</si>
  <si>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</si>
  <si>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</si>
  <si>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</si>
  <si>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</si>
  <si>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</si>
  <si>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VLSI Solution Oy</t>
  </si>
  <si>
    <t>FI08803668</t>
  </si>
  <si>
    <t>Hermiankatu 8 G, FI-37720 Tampere, Finland</t>
  </si>
  <si>
    <t>Jori Simpanen</t>
  </si>
  <si>
    <t>prod@vlsi.fi</t>
  </si>
  <si>
    <t>+358 50 462 3200</t>
  </si>
  <si>
    <t>Teppo Karema</t>
  </si>
  <si>
    <t>sales@vlsi.fi</t>
  </si>
  <si>
    <t>VS1005G-F-Q</t>
  </si>
  <si>
    <t>VS1205G-F-Q</t>
  </si>
  <si>
    <t>VS1005H-F-Q</t>
  </si>
  <si>
    <t>VS1205H-F-Q</t>
  </si>
  <si>
    <t>BGA24</t>
  </si>
  <si>
    <t>(Assy_C, VS1x05-F-Q)</t>
  </si>
  <si>
    <t>VS23S040D-B</t>
  </si>
  <si>
    <t>PT Timah (Persero), Tbk</t>
  </si>
  <si>
    <t>148 Samnam-ro</t>
  </si>
  <si>
    <t>"Jl Jenderal Sudirman 51
Pangkal Pinang 33121,"</t>
  </si>
  <si>
    <t>David Woodford</t>
  </si>
  <si>
    <t>david.woodford@perthmint.com.au</t>
  </si>
  <si>
    <t>Australia</t>
  </si>
  <si>
    <t xml:space="preserve">"Mr. Wachid Usman"
</t>
  </si>
  <si>
    <t>timah@pttimah.co.id</t>
  </si>
  <si>
    <t>JUNG. Jin.Won.</t>
  </si>
  <si>
    <t>gogilra11@lsnikko.com</t>
  </si>
  <si>
    <t>It already pass audit.</t>
  </si>
  <si>
    <t>Vale</t>
  </si>
  <si>
    <t>Brazil</t>
  </si>
  <si>
    <t>(Assy_C, VS1x05-F-Q and VS23S040-B = YES) MSC, Thaisarco.[These companies are listed by the Conformant Tin Smelters List.]</t>
  </si>
  <si>
    <t>(Assy_C, VS1x05-F-Q  and VS23S040-B)</t>
  </si>
  <si>
    <t>(Assy_C, VS1x05-F-Q and VS23S040-B)</t>
  </si>
  <si>
    <t>(Assy_C, VS1x05-F-Q and VS23S040-B): "Thaisaco is purchasing tin ore from Congo and Rwanda. Thereby they are purchasing through iTSCi program to avoid financial outflow to the armed group. iTSCi Project Overview https://www.itsci.org/company-management-policies/"</t>
  </si>
  <si>
    <t>(Assy_C, VS1x05-F-Q and VS23S040-B): "MSC is purchasing tin ore from Congo and Rwanda. Thereby they are purchasing through iTSCi program to avoid financial outflow to the armed group. iTSCi Project Overview https://www.itsci.org/company-management-policies/"</t>
  </si>
  <si>
    <t xml:space="preserve">80 Moo 8 Sakdidej Road, Tambon Vichit, 
Amphur Muang, Phuket 83000 </t>
  </si>
  <si>
    <t>Mr.Panya Torchareon</t>
  </si>
  <si>
    <t>sales@thaisarco.com</t>
  </si>
  <si>
    <t>Indonesia</t>
  </si>
  <si>
    <t>Jl Jenderal Sudirman 51
Pangkal Pinang 33121</t>
  </si>
  <si>
    <t>Mr. Wachid Usman</t>
  </si>
  <si>
    <t>corsec@pttimah.co.id</t>
  </si>
  <si>
    <t>PT timah</t>
  </si>
  <si>
    <t>27, Jalan Pantai 12000 Butterworth P.O.Box 2, 12700 Butterworth, Malaysia</t>
  </si>
  <si>
    <t>Mr. Norman Ip Ka Cheung</t>
  </si>
  <si>
    <t>msc@msmelt.com</t>
  </si>
  <si>
    <t>Rahman Hydraulic</t>
  </si>
  <si>
    <t>Malaysia</t>
  </si>
  <si>
    <t>(FAB_2)</t>
  </si>
  <si>
    <t>Assy_C</t>
  </si>
  <si>
    <t>FAB_2</t>
  </si>
  <si>
    <t>FAB_2 = No, Assy_C = No.</t>
  </si>
  <si>
    <t>http://www.vlsi.fi/fileadmin/quality/Conflict_Minerals_Elimination_Statement_2018.pdf</t>
  </si>
  <si>
    <t>QFN88</t>
  </si>
  <si>
    <t>All VS1005 versions with Flash memory (VS1x05-F-Q) and VS23S040-B, see the "Product List"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</si>
</sst>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7"/>
      <c r="B2" s="38" t="s">
        <v>963</v>
      </c>
      <c r="C2" s="36"/>
      <c r="D2" s="207"/>
      <c r="E2" s="3"/>
      <c r="F2" s="36"/>
      <c r="G2" s="34"/>
    </row>
    <row r="3" spans="1:7">
      <c r="A3" s="347"/>
      <c r="B3" s="5" t="s">
        <v>952</v>
      </c>
      <c r="C3" s="6"/>
      <c r="D3" s="208"/>
      <c r="E3" s="3"/>
      <c r="F3" s="6"/>
      <c r="G3" s="34"/>
    </row>
    <row r="4" spans="1:7" ht="15.75">
      <c r="A4" s="347"/>
      <c r="B4" s="41" t="s">
        <v>965</v>
      </c>
      <c r="C4" s="7"/>
      <c r="D4" s="209"/>
      <c r="E4" s="3"/>
      <c r="F4" s="7"/>
      <c r="G4" s="34"/>
    </row>
    <row r="5" spans="1:7">
      <c r="A5" s="347"/>
      <c r="B5" s="40" t="s">
        <v>1157</v>
      </c>
      <c r="C5" s="4"/>
      <c r="D5" s="210"/>
      <c r="E5" s="3"/>
      <c r="F5" s="4"/>
      <c r="G5" s="34"/>
    </row>
    <row r="6" spans="1:7">
      <c r="A6" s="347"/>
      <c r="B6" s="8"/>
      <c r="C6" s="8"/>
      <c r="D6" s="211"/>
      <c r="E6" s="8"/>
      <c r="F6" s="8"/>
      <c r="G6" s="34"/>
    </row>
    <row r="7" spans="1:7">
      <c r="A7" s="347"/>
      <c r="B7" s="8"/>
      <c r="C7" s="8"/>
      <c r="D7" s="211"/>
      <c r="E7" s="8"/>
      <c r="F7" s="8"/>
      <c r="G7" s="34"/>
    </row>
    <row r="8" spans="1:7">
      <c r="A8" s="347"/>
      <c r="B8" s="8"/>
      <c r="C8" s="8"/>
      <c r="D8" s="211"/>
      <c r="E8" s="8"/>
      <c r="F8" s="8"/>
      <c r="G8" s="34"/>
    </row>
    <row r="9" spans="1:7">
      <c r="A9" s="347"/>
      <c r="B9" s="350" t="s">
        <v>966</v>
      </c>
      <c r="C9" s="350"/>
      <c r="D9" s="350"/>
      <c r="E9" s="350"/>
      <c r="F9" s="350"/>
      <c r="G9" s="34"/>
    </row>
    <row r="10" spans="1:7" ht="27" customHeight="1">
      <c r="A10" s="347"/>
      <c r="B10" s="351" t="s">
        <v>506</v>
      </c>
      <c r="C10" s="351"/>
      <c r="D10" s="351"/>
      <c r="E10" s="351"/>
      <c r="F10" s="351"/>
      <c r="G10" s="34"/>
    </row>
    <row r="11" spans="1:7" ht="27" customHeight="1">
      <c r="A11" s="347"/>
      <c r="B11" s="352"/>
      <c r="C11" s="352"/>
      <c r="D11" s="352"/>
      <c r="E11" s="352"/>
      <c r="F11" s="352"/>
      <c r="G11" s="34"/>
    </row>
    <row r="12" spans="1:7" ht="16.5">
      <c r="A12" s="347"/>
      <c r="B12" s="42" t="s">
        <v>964</v>
      </c>
      <c r="C12" s="43" t="s">
        <v>967</v>
      </c>
      <c r="D12" s="212" t="s">
        <v>968</v>
      </c>
      <c r="E12" s="43" t="s">
        <v>701</v>
      </c>
      <c r="F12" s="43" t="s">
        <v>702</v>
      </c>
      <c r="G12" s="34"/>
    </row>
    <row r="13" spans="1:7" ht="33.75">
      <c r="A13" s="347"/>
      <c r="B13" s="2">
        <v>1</v>
      </c>
      <c r="C13" s="37" t="s">
        <v>1208</v>
      </c>
      <c r="D13" s="39" t="s">
        <v>992</v>
      </c>
      <c r="E13" s="196" t="s">
        <v>969</v>
      </c>
      <c r="F13" s="196"/>
      <c r="G13" s="34"/>
    </row>
    <row r="14" spans="1:7" ht="33.75">
      <c r="A14" s="347"/>
      <c r="B14" s="2">
        <v>2</v>
      </c>
      <c r="C14" s="37" t="s">
        <v>1208</v>
      </c>
      <c r="D14" s="39" t="s">
        <v>1142</v>
      </c>
      <c r="E14" s="196" t="s">
        <v>602</v>
      </c>
      <c r="F14" s="196" t="s">
        <v>603</v>
      </c>
      <c r="G14" s="34"/>
    </row>
    <row r="15" spans="1:7" ht="89.1" customHeight="1">
      <c r="A15" s="347"/>
      <c r="B15" s="353">
        <v>2.0099999999999998</v>
      </c>
      <c r="C15" s="356" t="s">
        <v>1208</v>
      </c>
      <c r="D15" s="359" t="s">
        <v>2686</v>
      </c>
      <c r="E15" s="197" t="s">
        <v>703</v>
      </c>
      <c r="F15" s="197" t="s">
        <v>706</v>
      </c>
      <c r="G15" s="34"/>
    </row>
    <row r="16" spans="1:7" ht="99" customHeight="1">
      <c r="A16" s="347"/>
      <c r="B16" s="354"/>
      <c r="C16" s="357"/>
      <c r="D16" s="360"/>
      <c r="E16" s="198"/>
      <c r="F16" s="198" t="s">
        <v>704</v>
      </c>
      <c r="G16" s="34"/>
    </row>
    <row r="17" spans="1:7" ht="63" customHeight="1">
      <c r="A17" s="347"/>
      <c r="B17" s="355"/>
      <c r="C17" s="358"/>
      <c r="D17" s="361"/>
      <c r="E17" s="37"/>
      <c r="F17" s="37" t="s">
        <v>705</v>
      </c>
      <c r="G17" s="34"/>
    </row>
    <row r="18" spans="1:7" ht="117" customHeight="1">
      <c r="A18" s="347"/>
      <c r="B18" s="353">
        <v>2.02</v>
      </c>
      <c r="C18" s="356" t="s">
        <v>1208</v>
      </c>
      <c r="D18" s="359" t="s">
        <v>2687</v>
      </c>
      <c r="E18" s="197" t="s">
        <v>507</v>
      </c>
      <c r="F18" s="197" t="s">
        <v>596</v>
      </c>
      <c r="G18" s="34"/>
    </row>
    <row r="19" spans="1:7" ht="71.099999999999994" customHeight="1">
      <c r="A19" s="347"/>
      <c r="B19" s="354"/>
      <c r="C19" s="357"/>
      <c r="D19" s="360"/>
      <c r="E19" s="198" t="s">
        <v>601</v>
      </c>
      <c r="F19" s="198" t="s">
        <v>508</v>
      </c>
      <c r="G19" s="34"/>
    </row>
    <row r="20" spans="1:7" ht="90.75" customHeight="1">
      <c r="A20" s="347"/>
      <c r="B20" s="354"/>
      <c r="C20" s="357"/>
      <c r="D20" s="360"/>
      <c r="E20" s="198"/>
      <c r="F20" s="198" t="s">
        <v>708</v>
      </c>
      <c r="G20" s="34"/>
    </row>
    <row r="21" spans="1:7" ht="74.25" customHeight="1">
      <c r="A21" s="347"/>
      <c r="B21" s="355"/>
      <c r="C21" s="358"/>
      <c r="D21" s="361"/>
      <c r="E21" s="37"/>
      <c r="F21" s="37" t="s">
        <v>707</v>
      </c>
      <c r="G21" s="34"/>
    </row>
    <row r="22" spans="1:7" ht="90" customHeight="1">
      <c r="A22" s="347"/>
      <c r="B22" s="365">
        <v>2.0299999999999998</v>
      </c>
      <c r="C22" s="365" t="s">
        <v>935</v>
      </c>
      <c r="D22" s="368" t="s">
        <v>2688</v>
      </c>
      <c r="E22" s="356" t="s">
        <v>505</v>
      </c>
      <c r="F22" s="197" t="s">
        <v>529</v>
      </c>
      <c r="G22" s="34"/>
    </row>
    <row r="23" spans="1:7" ht="109.5" customHeight="1">
      <c r="A23" s="347"/>
      <c r="B23" s="366"/>
      <c r="C23" s="366"/>
      <c r="D23" s="369"/>
      <c r="E23" s="357"/>
      <c r="F23" s="198" t="s">
        <v>936</v>
      </c>
      <c r="G23" s="34"/>
    </row>
    <row r="24" spans="1:7" ht="74.25" customHeight="1">
      <c r="A24" s="347"/>
      <c r="B24" s="367"/>
      <c r="C24" s="367"/>
      <c r="D24" s="370"/>
      <c r="E24" s="358"/>
      <c r="F24" s="37" t="s">
        <v>504</v>
      </c>
      <c r="G24" s="34"/>
    </row>
    <row r="25" spans="1:7" ht="72" customHeight="1">
      <c r="A25" s="347"/>
      <c r="B25" s="2" t="s">
        <v>527</v>
      </c>
      <c r="C25" s="37" t="s">
        <v>528</v>
      </c>
      <c r="D25" s="39" t="s">
        <v>2689</v>
      </c>
      <c r="E25" s="37" t="s">
        <v>2682</v>
      </c>
      <c r="F25" s="37" t="s">
        <v>530</v>
      </c>
      <c r="G25" s="34"/>
    </row>
    <row r="26" spans="1:7" ht="98.1" customHeight="1">
      <c r="A26" s="347"/>
      <c r="B26" s="362">
        <v>3</v>
      </c>
      <c r="C26" s="353" t="s">
        <v>74</v>
      </c>
      <c r="D26" s="359" t="s">
        <v>2690</v>
      </c>
      <c r="E26" s="356" t="s">
        <v>0</v>
      </c>
      <c r="F26" s="197" t="s">
        <v>68</v>
      </c>
      <c r="G26" s="34"/>
    </row>
    <row r="27" spans="1:7" ht="90" customHeight="1">
      <c r="A27" s="347"/>
      <c r="B27" s="363"/>
      <c r="C27" s="354"/>
      <c r="D27" s="360"/>
      <c r="E27" s="357"/>
      <c r="F27" s="198" t="s">
        <v>63</v>
      </c>
      <c r="G27" s="34"/>
    </row>
    <row r="28" spans="1:7" ht="19.350000000000001" customHeight="1">
      <c r="A28" s="347"/>
      <c r="B28" s="363"/>
      <c r="C28" s="354"/>
      <c r="D28" s="360"/>
      <c r="E28" s="357"/>
      <c r="F28" s="198" t="s">
        <v>64</v>
      </c>
      <c r="G28" s="34"/>
    </row>
    <row r="29" spans="1:7" ht="74.45" customHeight="1">
      <c r="A29" s="347"/>
      <c r="B29" s="363"/>
      <c r="C29" s="354"/>
      <c r="D29" s="360"/>
      <c r="E29" s="357"/>
      <c r="F29" s="198" t="s">
        <v>65</v>
      </c>
      <c r="G29" s="34"/>
    </row>
    <row r="30" spans="1:7" ht="62.45" customHeight="1">
      <c r="A30" s="347"/>
      <c r="B30" s="363"/>
      <c r="C30" s="354"/>
      <c r="D30" s="360"/>
      <c r="E30" s="357"/>
      <c r="F30" s="198" t="s">
        <v>66</v>
      </c>
      <c r="G30" s="34"/>
    </row>
    <row r="31" spans="1:7" ht="81" customHeight="1">
      <c r="A31" s="347"/>
      <c r="B31" s="363"/>
      <c r="C31" s="354"/>
      <c r="D31" s="360"/>
      <c r="E31" s="357"/>
      <c r="F31" s="198" t="s">
        <v>67</v>
      </c>
      <c r="G31" s="34"/>
    </row>
    <row r="32" spans="1:7" ht="48.75" customHeight="1">
      <c r="A32" s="347"/>
      <c r="B32" s="363"/>
      <c r="C32" s="354"/>
      <c r="D32" s="360"/>
      <c r="E32" s="357"/>
      <c r="F32" s="198" t="s">
        <v>70</v>
      </c>
      <c r="G32" s="34"/>
    </row>
    <row r="33" spans="1:7" ht="98.45" customHeight="1">
      <c r="A33" s="347"/>
      <c r="B33" s="363"/>
      <c r="C33" s="354"/>
      <c r="D33" s="360"/>
      <c r="E33" s="357"/>
      <c r="F33" s="198" t="s">
        <v>69</v>
      </c>
      <c r="G33" s="34"/>
    </row>
    <row r="34" spans="1:7" ht="89.1" customHeight="1">
      <c r="A34" s="347"/>
      <c r="B34" s="363"/>
      <c r="C34" s="354"/>
      <c r="D34" s="360"/>
      <c r="E34" s="357"/>
      <c r="F34" s="198" t="s">
        <v>71</v>
      </c>
      <c r="G34" s="34"/>
    </row>
    <row r="35" spans="1:7" ht="29.1" customHeight="1">
      <c r="A35" s="347"/>
      <c r="B35" s="363"/>
      <c r="C35" s="354"/>
      <c r="D35" s="360"/>
      <c r="E35" s="357"/>
      <c r="F35" s="198" t="s">
        <v>72</v>
      </c>
      <c r="G35" s="34"/>
    </row>
    <row r="36" spans="1:7" ht="126.75">
      <c r="A36" s="347"/>
      <c r="B36" s="364"/>
      <c r="C36" s="355"/>
      <c r="D36" s="361"/>
      <c r="E36" s="358"/>
      <c r="F36" s="199" t="s">
        <v>73</v>
      </c>
      <c r="G36" s="34"/>
    </row>
    <row r="37" spans="1:7" ht="123.75">
      <c r="A37" s="347"/>
      <c r="B37" s="175">
        <v>3.01</v>
      </c>
      <c r="C37" s="176" t="s">
        <v>74</v>
      </c>
      <c r="D37" s="39" t="s">
        <v>2691</v>
      </c>
      <c r="E37" s="200" t="s">
        <v>1458</v>
      </c>
      <c r="F37" s="201" t="s">
        <v>1577</v>
      </c>
      <c r="G37" s="34"/>
    </row>
    <row r="38" spans="1:7" ht="112.5">
      <c r="A38" s="347"/>
      <c r="B38" s="175">
        <v>3.02</v>
      </c>
      <c r="C38" s="176" t="s">
        <v>1492</v>
      </c>
      <c r="D38" s="39" t="s">
        <v>2692</v>
      </c>
      <c r="E38" s="200" t="s">
        <v>1507</v>
      </c>
      <c r="F38" s="201" t="s">
        <v>1578</v>
      </c>
      <c r="G38" s="34"/>
    </row>
    <row r="39" spans="1:7" ht="101.25">
      <c r="A39" s="347"/>
      <c r="B39" s="184">
        <v>4</v>
      </c>
      <c r="C39" s="183" t="s">
        <v>1757</v>
      </c>
      <c r="D39" s="39" t="s">
        <v>2693</v>
      </c>
      <c r="E39" s="37" t="s">
        <v>2625</v>
      </c>
      <c r="F39" s="37" t="s">
        <v>1758</v>
      </c>
      <c r="G39" s="34"/>
    </row>
    <row r="40" spans="1:7" ht="56.25">
      <c r="A40" s="347"/>
      <c r="B40" s="175">
        <v>4.01</v>
      </c>
      <c r="C40" s="183" t="s">
        <v>1757</v>
      </c>
      <c r="D40" s="39" t="s">
        <v>2695</v>
      </c>
      <c r="E40" s="37" t="s">
        <v>2644</v>
      </c>
      <c r="F40" s="37" t="s">
        <v>2649</v>
      </c>
      <c r="G40" s="34"/>
    </row>
    <row r="41" spans="1:7" ht="56.25">
      <c r="A41" s="347"/>
      <c r="B41" s="175" t="s">
        <v>2680</v>
      </c>
      <c r="C41" s="183" t="s">
        <v>1757</v>
      </c>
      <c r="D41" s="39" t="s">
        <v>2694</v>
      </c>
      <c r="E41" s="37" t="s">
        <v>2683</v>
      </c>
      <c r="F41" s="37" t="s">
        <v>2681</v>
      </c>
      <c r="G41" s="34"/>
    </row>
    <row r="42" spans="1:7" ht="56.25">
      <c r="A42" s="347"/>
      <c r="B42" s="175" t="s">
        <v>2732</v>
      </c>
      <c r="C42" s="183" t="s">
        <v>1757</v>
      </c>
      <c r="D42" s="39" t="s">
        <v>2903</v>
      </c>
      <c r="E42" s="37" t="s">
        <v>2682</v>
      </c>
      <c r="F42" s="37" t="s">
        <v>2733</v>
      </c>
      <c r="G42" s="34"/>
    </row>
    <row r="43" spans="1:7" ht="123.75">
      <c r="A43" s="347"/>
      <c r="B43" s="193">
        <v>4.0999999999999996</v>
      </c>
      <c r="C43" s="183" t="s">
        <v>2902</v>
      </c>
      <c r="D43" s="194">
        <v>42867</v>
      </c>
      <c r="E43" s="202" t="s">
        <v>2905</v>
      </c>
      <c r="F43" s="37" t="s">
        <v>2904</v>
      </c>
      <c r="G43" s="34"/>
    </row>
    <row r="44" spans="1:7" ht="78.75">
      <c r="A44" s="347"/>
      <c r="B44" s="193">
        <v>4.2</v>
      </c>
      <c r="C44" s="183" t="s">
        <v>2902</v>
      </c>
      <c r="D44" s="194">
        <v>42704</v>
      </c>
      <c r="E44" s="202" t="s">
        <v>3155</v>
      </c>
      <c r="F44" s="37" t="s">
        <v>3120</v>
      </c>
      <c r="G44" s="34"/>
    </row>
    <row r="45" spans="1:7" ht="157.5">
      <c r="A45" s="347"/>
      <c r="B45" s="241">
        <v>5</v>
      </c>
      <c r="C45" s="183" t="s">
        <v>2902</v>
      </c>
      <c r="D45" s="194">
        <v>42867</v>
      </c>
      <c r="E45" s="202" t="s">
        <v>13730</v>
      </c>
      <c r="F45" s="37" t="s">
        <v>13315</v>
      </c>
      <c r="G45" s="34"/>
    </row>
    <row r="46" spans="1:7" ht="45">
      <c r="A46" s="347"/>
      <c r="B46" s="193">
        <v>5.01</v>
      </c>
      <c r="C46" s="183" t="s">
        <v>2902</v>
      </c>
      <c r="D46" s="194">
        <v>42907</v>
      </c>
      <c r="E46" s="202" t="s">
        <v>13786</v>
      </c>
      <c r="F46" s="37" t="s">
        <v>13315</v>
      </c>
      <c r="G46" s="34"/>
    </row>
    <row r="47" spans="1:7" ht="67.5">
      <c r="A47" s="347"/>
      <c r="B47" s="193">
        <v>5.0999999999999996</v>
      </c>
      <c r="C47" s="183" t="s">
        <v>2902</v>
      </c>
      <c r="D47" s="194">
        <v>43070</v>
      </c>
      <c r="E47" s="202" t="s">
        <v>13985</v>
      </c>
      <c r="F47" s="37" t="s">
        <v>13986</v>
      </c>
      <c r="G47" s="34"/>
    </row>
    <row r="48" spans="1:7" ht="56.25">
      <c r="A48" s="347"/>
      <c r="B48" s="193">
        <v>5.1100000000000003</v>
      </c>
      <c r="C48" s="183" t="s">
        <v>14260</v>
      </c>
      <c r="D48" s="194">
        <v>43217</v>
      </c>
      <c r="E48" s="202" t="s">
        <v>14404</v>
      </c>
      <c r="F48" s="37" t="s">
        <v>14299</v>
      </c>
      <c r="G48" s="34"/>
    </row>
    <row r="49" spans="1:7" ht="56.25">
      <c r="A49" s="347"/>
      <c r="B49" s="193">
        <v>5.12</v>
      </c>
      <c r="C49" s="183" t="s">
        <v>14260</v>
      </c>
      <c r="D49" s="194">
        <v>43581</v>
      </c>
      <c r="E49" s="202" t="s">
        <v>14404</v>
      </c>
      <c r="F49" s="37" t="s">
        <v>15467</v>
      </c>
      <c r="G49" s="34"/>
    </row>
    <row r="50" spans="1:7" ht="13.5" thickBot="1">
      <c r="A50" s="348"/>
      <c r="B50" s="349" t="str">
        <f ca="1">OFFSET(L!$C$1,MATCH("General"&amp;"Cpy",L!$A:$A,0)-1,SL,,)</f>
        <v>© 2019 Responsible Minerals Initiative. All rights reserved.</v>
      </c>
      <c r="C50" s="349"/>
      <c r="D50" s="349"/>
      <c r="E50" s="349"/>
      <c r="F50" s="34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7" zoomScaleNormal="100"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t="s">
        <v>15546</v>
      </c>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15495</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15496</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15497</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7" t="s">
        <v>15498</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15499</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15500</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7" t="s">
        <v>15501</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15499</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43703</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15541</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t="s">
        <v>15541</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t="s">
        <v>15542</v>
      </c>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7" customHeight="1">
      <c r="A39" s="52"/>
      <c r="B39" s="51" t="str">
        <f ca="1">OFFSET(L!$C$1,MATCH("Declaration"&amp;ADDRESS(ROW(),COLUMN(),4),L!$A:$A,0)-1,SL,,)&amp;P39</f>
        <v>Tin  (*)</v>
      </c>
      <c r="C39" s="13"/>
      <c r="D39" s="377" t="s">
        <v>558</v>
      </c>
      <c r="E39" s="378"/>
      <c r="F39" s="58"/>
      <c r="G39" s="379" t="s">
        <v>15522</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559</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v>1</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v>1</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v>1</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
        <v>15544</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13311</v>
      </c>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t="s">
        <v>15543</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7.95" customHeight="1">
      <c r="A5" s="215" t="s">
        <v>834</v>
      </c>
      <c r="B5" s="216" t="str">
        <f ca="1">IF(LEN(A5)=0,"",INDEX('Smelter Look-up'!$A:$A,MATCH($A5,'Smelter Look-up'!$E:$E,0)))</f>
        <v>Gold</v>
      </c>
      <c r="C5" s="220" t="str">
        <f ca="1">IF(LEN(A5)=0,"",INDEX('Smelter Look-up'!$C:$C,MATCH($A5,'Smelter Look-up'!$E:$E,0)))</f>
        <v>Western Australian Mint (T/a The Perth Mint)</v>
      </c>
      <c r="D5" s="216"/>
      <c r="E5" s="216" t="str">
        <f ca="1">IF(ISERROR($V5),"",OFFSET('Smelter Look-up'!$D$4,$V5-4,0)&amp;"")</f>
        <v>AUSTRALIA</v>
      </c>
      <c r="F5" s="216" t="str">
        <f ca="1">IF(ISERROR($V5),"",OFFSET('Smelter Look-up'!$E$4,$V5-4,0))</f>
        <v>CID002030</v>
      </c>
      <c r="G5" s="216" t="str">
        <f ca="1">IF(C5=$X$4,"Enter smelter details", IF(ISERROR($V5),"",OFFSET('Smelter Look-up'!$F$4,$V5-4,0)))</f>
        <v>RMI</v>
      </c>
      <c r="H5" s="217">
        <f ca="1">IF(ISERROR($V5),"",OFFSET('Smelter Look-up'!$G$4,$V5-4,0))</f>
        <v>0</v>
      </c>
      <c r="I5" s="218" t="str">
        <f ca="1">IF(ISERROR($V5),"",OFFSET('Smelter Look-up'!$H$4,$V5-4,0))</f>
        <v>Newburn</v>
      </c>
      <c r="J5" s="218" t="str">
        <f ca="1">IF(ISERROR($V5),"",OFFSET('Smelter Look-up'!$I$4,$V5-4,0))</f>
        <v>Western Australia</v>
      </c>
      <c r="K5" s="267" t="s">
        <v>15512</v>
      </c>
      <c r="L5" s="267" t="s">
        <v>15513</v>
      </c>
      <c r="M5" s="267"/>
      <c r="N5" s="267" t="s">
        <v>2657</v>
      </c>
      <c r="O5" s="267" t="s">
        <v>15514</v>
      </c>
      <c r="P5" s="219" t="s">
        <v>559</v>
      </c>
      <c r="Q5" s="268" t="s">
        <v>15524</v>
      </c>
      <c r="R5" s="216" t="str">
        <f ca="1">IF(ISERROR($V5),"",OFFSET('Smelter Look-up'!$C$4,$V5-4,0)&amp;"")</f>
        <v>Western Australian Mint (T/a The Perth Mint)</v>
      </c>
      <c r="S5" s="224" t="str">
        <f t="shared" ref="S5:S68" ca="1" si="0">IF(B5="","",IF(ISERROR(MATCH($E5,CL,0)),"Unknown",INDIRECT("'C'!$A$"&amp;MATCH($E5,CL,0)+1)))</f>
        <v>AU</v>
      </c>
      <c r="T5" s="224" t="str">
        <f ca="1">IF(B5="","",IF(ISERROR(MATCH($J5,SorP!$B$1:$B$6230,0)),"",INDIRECT("'SorP'!$A$"&amp;MATCH($J5,SorP!$B$1:$B$6230,0))))</f>
        <v>AU-WA</v>
      </c>
      <c r="U5" s="239"/>
      <c r="V5" s="269">
        <f ca="1">IF(C5="",NA(),MATCH($B5&amp;$C5,'Smelter Look-up'!$J:$J,0))</f>
        <v>262</v>
      </c>
      <c r="W5" s="270"/>
      <c r="X5" s="270">
        <f t="shared" ref="X5:X68" ca="1" si="1">IF(AND(C5="Smelter not listed",OR(LEN(D5)=0,LEN(E5)=0)),1,0)</f>
        <v>0</v>
      </c>
      <c r="Y5" s="270"/>
      <c r="Z5" s="270"/>
      <c r="AB5" s="272" t="str">
        <f t="shared" ref="AB5:AB68" ca="1" si="2">B5&amp;C5</f>
        <v>GoldWestern Australian Mint (T/a The Perth Mint)</v>
      </c>
    </row>
    <row r="6" spans="1:34" s="271" customFormat="1" ht="75" customHeight="1">
      <c r="A6" s="215" t="s">
        <v>871</v>
      </c>
      <c r="B6" s="216" t="str">
        <f ca="1">IF(LEN(A6)=0,"",INDEX('Smelter Look-up'!$A:$A,MATCH($A6,'Smelter Look-up'!$E:$E,0)))</f>
        <v>Tin</v>
      </c>
      <c r="C6" s="220" t="str">
        <f ca="1">IF(LEN(A6)=0,"",INDEX('Smelter Look-up'!$C:$C,MATCH($A6,'Smelter Look-up'!$E:$E,0)))</f>
        <v>Malaysia Smelting Corporation (MSC)</v>
      </c>
      <c r="D6" s="216"/>
      <c r="E6" s="216" t="str">
        <f ca="1">IF(ISERROR($V6),"",OFFSET('Smelter Look-up'!$D$4,$V6-4,0)&amp;"")</f>
        <v>MALAYSIA</v>
      </c>
      <c r="F6" s="216" t="str">
        <f ca="1">IF(ISERROR($V6),"",OFFSET('Smelter Look-up'!$E$4,$V6-4,0))</f>
        <v>CID001105</v>
      </c>
      <c r="G6" s="216" t="str">
        <f ca="1">IF(C6=$X$4,"Enter smelter details", IF(ISERROR($V6),"",OFFSET('Smelter Look-up'!$F$4,$V6-4,0)))</f>
        <v>RMI</v>
      </c>
      <c r="H6" s="217" t="s">
        <v>15535</v>
      </c>
      <c r="I6" s="218" t="str">
        <f ca="1">IF(ISERROR($V6),"",OFFSET('Smelter Look-up'!$H$4,$V6-4,0))</f>
        <v>Butterworth</v>
      </c>
      <c r="J6" s="218" t="str">
        <f ca="1">IF(ISERROR($V6),"",OFFSET('Smelter Look-up'!$I$4,$V6-4,0))</f>
        <v>Pulau Pinang</v>
      </c>
      <c r="K6" s="267" t="s">
        <v>15536</v>
      </c>
      <c r="L6" s="267" t="s">
        <v>15537</v>
      </c>
      <c r="M6" s="267"/>
      <c r="N6" s="267" t="s">
        <v>15538</v>
      </c>
      <c r="O6" s="267" t="s">
        <v>15539</v>
      </c>
      <c r="P6" s="219" t="s">
        <v>559</v>
      </c>
      <c r="Q6" s="268" t="s">
        <v>15526</v>
      </c>
      <c r="R6" s="216" t="str">
        <f ca="1">IF(ISERROR($V6),"",OFFSET('Smelter Look-up'!$C$4,$V6-4,0)&amp;"")</f>
        <v>Malaysia Smelting Corporation (MSC)</v>
      </c>
      <c r="S6" s="224" t="str">
        <f t="shared" ca="1" si="0"/>
        <v>MY</v>
      </c>
      <c r="T6" s="224" t="str">
        <f ca="1">IF(B6="","",IF(ISERROR(MATCH($J6,SorP!$B$1:$B$6230,0)),"",INDIRECT("'SorP'!$A$"&amp;MATCH($J6,SorP!$B$1:$B$6230,0))))</f>
        <v>MY-07</v>
      </c>
      <c r="U6" s="239"/>
      <c r="V6" s="269">
        <f ca="1">IF(C6="",NA(),MATCH($B6&amp;$C6,'Smelter Look-up'!$J:$J,0))</f>
        <v>418</v>
      </c>
      <c r="W6" s="270"/>
      <c r="X6" s="270">
        <f t="shared" ca="1" si="1"/>
        <v>0</v>
      </c>
      <c r="Y6" s="270"/>
      <c r="Z6" s="270"/>
      <c r="AB6" s="272" t="str">
        <f t="shared" ca="1" si="2"/>
        <v>TinMalaysia Smelting Corporation (MSC)</v>
      </c>
    </row>
    <row r="7" spans="1:34" s="271" customFormat="1" ht="75" customHeight="1">
      <c r="A7" s="215" t="s">
        <v>896</v>
      </c>
      <c r="B7" s="216" t="str">
        <f ca="1">IF(LEN(A7)=0,"",INDEX('Smelter Look-up'!$A:$A,MATCH($A7,'Smelter Look-up'!$E:$E,0)))</f>
        <v>Tin</v>
      </c>
      <c r="C7" s="220" t="str">
        <f ca="1">IF(LEN(A7)=0,"",INDEX('Smelter Look-up'!$C:$C,MATCH($A7,'Smelter Look-up'!$E:$E,0)))</f>
        <v>Thaisarco</v>
      </c>
      <c r="D7" s="216"/>
      <c r="E7" s="216" t="str">
        <f ca="1">IF(ISERROR($V7),"",OFFSET('Smelter Look-up'!$D$4,$V7-4,0)&amp;"")</f>
        <v>THAILAND</v>
      </c>
      <c r="F7" s="216" t="str">
        <f ca="1">IF(ISERROR($V7),"",OFFSET('Smelter Look-up'!$E$4,$V7-4,0))</f>
        <v>CID001898</v>
      </c>
      <c r="G7" s="216" t="str">
        <f ca="1">IF(C7=$X$4,"Enter smelter details", IF(ISERROR($V7),"",OFFSET('Smelter Look-up'!$F$4,$V7-4,0)))</f>
        <v>RMI</v>
      </c>
      <c r="H7" s="217" t="s">
        <v>15527</v>
      </c>
      <c r="I7" s="218" t="str">
        <f ca="1">IF(ISERROR($V7),"",OFFSET('Smelter Look-up'!$H$4,$V7-4,0))</f>
        <v>Amphur Muang</v>
      </c>
      <c r="J7" s="218" t="str">
        <f ca="1">IF(ISERROR($V7),"",OFFSET('Smelter Look-up'!$I$4,$V7-4,0))</f>
        <v>Phuket</v>
      </c>
      <c r="K7" s="267" t="s">
        <v>15528</v>
      </c>
      <c r="L7" s="267" t="s">
        <v>15529</v>
      </c>
      <c r="M7" s="267"/>
      <c r="N7" s="267" t="s">
        <v>1521</v>
      </c>
      <c r="O7" s="267" t="s">
        <v>15530</v>
      </c>
      <c r="P7" s="219" t="s">
        <v>559</v>
      </c>
      <c r="Q7" s="268" t="s">
        <v>15525</v>
      </c>
      <c r="R7" s="216" t="str">
        <f ca="1">IF(ISERROR($V7),"",OFFSET('Smelter Look-up'!$C$4,$V7-4,0)&amp;"")</f>
        <v>Thaisarco</v>
      </c>
      <c r="S7" s="224" t="str">
        <f t="shared" ca="1" si="0"/>
        <v>TH</v>
      </c>
      <c r="T7" s="224" t="str">
        <f ca="1">IF(B7="","",IF(ISERROR(MATCH($J7,SorP!$B$1:$B$6230,0)),"",INDIRECT("'SorP'!$A$"&amp;MATCH($J7,SorP!$B$1:$B$6230,0))))</f>
        <v>TH-83</v>
      </c>
      <c r="U7" s="239"/>
      <c r="V7" s="269">
        <f ca="1">IF(C7="",NA(),MATCH($B7&amp;$C7,'Smelter Look-up'!$J:$J,0))</f>
        <v>488</v>
      </c>
      <c r="W7" s="270"/>
      <c r="X7" s="270">
        <f t="shared" ca="1" si="1"/>
        <v>0</v>
      </c>
      <c r="Y7" s="270"/>
      <c r="Z7" s="270"/>
      <c r="AB7" s="272" t="str">
        <f t="shared" ca="1" si="2"/>
        <v>TinThaisarco</v>
      </c>
    </row>
    <row r="8" spans="1:34" s="271" customFormat="1" ht="27.95" customHeight="1">
      <c r="A8" s="215" t="s">
        <v>873</v>
      </c>
      <c r="B8" s="216" t="str">
        <f ca="1">IF(LEN(A8)=0,"",INDEX('Smelter Look-up'!$A:$A,MATCH($A8,'Smelter Look-up'!$E:$E,0)))</f>
        <v>Tin</v>
      </c>
      <c r="C8" s="220" t="str">
        <f ca="1">IF(LEN(A8)=0,"",INDEX('Smelter Look-up'!$C:$C,MATCH($A8,'Smelter Look-up'!$E:$E,0)))</f>
        <v>Minsur</v>
      </c>
      <c r="D8" s="216"/>
      <c r="E8" s="216" t="str">
        <f ca="1">IF(ISERROR($V8),"",OFFSET('Smelter Look-up'!$D$4,$V8-4,0)&amp;"")</f>
        <v>PERU</v>
      </c>
      <c r="F8" s="216" t="str">
        <f ca="1">IF(ISERROR($V8),"",OFFSET('Smelter Look-up'!$E$4,$V8-4,0))</f>
        <v>CID001182</v>
      </c>
      <c r="G8" s="216" t="str">
        <f ca="1">IF(C8=$X$4,"Enter smelter details", IF(ISERROR($V8),"",OFFSET('Smelter Look-up'!$F$4,$V8-4,0)))</f>
        <v>RMI</v>
      </c>
      <c r="H8" s="217">
        <f ca="1">IF(ISERROR($V8),"",OFFSET('Smelter Look-up'!$G$4,$V8-4,0))</f>
        <v>0</v>
      </c>
      <c r="I8" s="218" t="str">
        <f ca="1">IF(ISERROR($V8),"",OFFSET('Smelter Look-up'!$H$4,$V8-4,0))</f>
        <v>Paracas</v>
      </c>
      <c r="J8" s="218" t="str">
        <f ca="1">IF(ISERROR($V8),"",OFFSET('Smelter Look-up'!$I$4,$V8-4,0))</f>
        <v>Ika</v>
      </c>
      <c r="K8" s="267"/>
      <c r="L8" s="267"/>
      <c r="M8" s="267"/>
      <c r="N8" s="267"/>
      <c r="O8" s="267"/>
      <c r="P8" s="219"/>
      <c r="Q8" s="268" t="s">
        <v>15507</v>
      </c>
      <c r="R8" s="216" t="str">
        <f ca="1">IF(ISERROR($V8),"",OFFSET('Smelter Look-up'!$C$4,$V8-4,0)&amp;"")</f>
        <v>Minsur</v>
      </c>
      <c r="S8" s="224" t="str">
        <f t="shared" ca="1" si="0"/>
        <v>PE</v>
      </c>
      <c r="T8" s="224" t="str">
        <f ca="1">IF(B8="","",IF(ISERROR(MATCH($J8,SorP!$B$1:$B$6230,0)),"",INDIRECT("'SorP'!$A$"&amp;MATCH($J8,SorP!$B$1:$B$6230,0))))</f>
        <v>PE-ICA</v>
      </c>
      <c r="U8" s="239"/>
      <c r="V8" s="269">
        <f ca="1">IF(C8="",NA(),MATCH($B8&amp;$C8,'Smelter Look-up'!$J:$J,0))</f>
        <v>428</v>
      </c>
      <c r="W8" s="270"/>
      <c r="X8" s="270">
        <f t="shared" ca="1" si="1"/>
        <v>0</v>
      </c>
      <c r="Y8" s="270"/>
      <c r="Z8" s="270"/>
      <c r="AB8" s="272" t="str">
        <f t="shared" ca="1" si="2"/>
        <v>TinMinsur</v>
      </c>
    </row>
    <row r="9" spans="1:34" s="271" customFormat="1" ht="27.95" customHeight="1">
      <c r="A9" s="215" t="s">
        <v>898</v>
      </c>
      <c r="B9" s="216" t="str">
        <f ca="1">IF(LEN(A9)=0,"",INDEX('Smelter Look-up'!$A:$A,MATCH($A9,'Smelter Look-up'!$E:$E,0)))</f>
        <v>Tin</v>
      </c>
      <c r="C9" s="220" t="str">
        <f ca="1">IF(LEN(A9)=0,"",INDEX('Smelter Look-up'!$C:$C,MATCH($A9,'Smelter Look-up'!$E:$E,0)))</f>
        <v>Yunnan Chengfeng Non-ferrous Metals Co., Ltd.</v>
      </c>
      <c r="D9" s="216"/>
      <c r="E9" s="216" t="str">
        <f ca="1">IF(ISERROR($V9),"",OFFSET('Smelter Look-up'!$D$4,$V9-4,0)&amp;"")</f>
        <v>CHINA</v>
      </c>
      <c r="F9" s="216" t="str">
        <f ca="1">IF(ISERROR($V9),"",OFFSET('Smelter Look-up'!$E$4,$V9-4,0))</f>
        <v>CID002158</v>
      </c>
      <c r="G9" s="216" t="str">
        <f ca="1">IF(C9=$X$4,"Enter smelter details", IF(ISERROR($V9),"",OFFSET('Smelter Look-up'!$F$4,$V9-4,0)))</f>
        <v>RMI</v>
      </c>
      <c r="H9" s="217">
        <f ca="1">IF(ISERROR($V9),"",OFFSET('Smelter Look-up'!$G$4,$V9-4,0))</f>
        <v>0</v>
      </c>
      <c r="I9" s="218" t="str">
        <f ca="1">IF(ISERROR($V9),"",OFFSET('Smelter Look-up'!$H$4,$V9-4,0))</f>
        <v>Gejiu</v>
      </c>
      <c r="J9" s="218" t="str">
        <f ca="1">IF(ISERROR($V9),"",OFFSET('Smelter Look-up'!$I$4,$V9-4,0))</f>
        <v>Yunnan Sheng</v>
      </c>
      <c r="K9" s="267"/>
      <c r="L9" s="267"/>
      <c r="M9" s="267"/>
      <c r="N9" s="267"/>
      <c r="O9" s="267"/>
      <c r="P9" s="219"/>
      <c r="Q9" s="268" t="s">
        <v>15507</v>
      </c>
      <c r="R9" s="216" t="str">
        <f ca="1">IF(ISERROR($V9),"",OFFSET('Smelter Look-up'!$C$4,$V9-4,0)&amp;"")</f>
        <v>Yunnan Chengfeng Non-ferrous Metals Co., Ltd.</v>
      </c>
      <c r="S9" s="224" t="str">
        <f t="shared" ca="1" si="0"/>
        <v>CN</v>
      </c>
      <c r="T9" s="224" t="str">
        <f ca="1">IF(B9="","",IF(ISERROR(MATCH($J9,SorP!$B$1:$B$6230,0)),"",INDIRECT("'SorP'!$A$"&amp;MATCH($J9,SorP!$B$1:$B$6230,0))))</f>
        <v>CN-YN</v>
      </c>
      <c r="U9" s="239"/>
      <c r="V9" s="269">
        <f ca="1">IF(C9="",NA(),MATCH($B9&amp;$C9,'Smelter Look-up'!$J:$J,0))</f>
        <v>503</v>
      </c>
      <c r="W9" s="270"/>
      <c r="X9" s="270">
        <f t="shared" ca="1" si="1"/>
        <v>0</v>
      </c>
      <c r="Y9" s="270"/>
      <c r="Z9" s="270"/>
      <c r="AB9" s="272" t="str">
        <f t="shared" ca="1" si="2"/>
        <v>TinYunnan Chengfeng Non-ferrous Metals Co., Ltd.</v>
      </c>
    </row>
    <row r="10" spans="1:34" s="271" customFormat="1" ht="27.95" customHeight="1">
      <c r="A10" s="215" t="s">
        <v>2677</v>
      </c>
      <c r="B10" s="216" t="str">
        <f ca="1">IF(LEN(A10)=0,"",INDEX('Smelter Look-up'!$A:$A,MATCH($A10,'Smelter Look-up'!$E:$E,0)))</f>
        <v>Tin</v>
      </c>
      <c r="C10" s="220" t="str">
        <f ca="1">IF(LEN(A10)=0,"",INDEX('Smelter Look-up'!$C:$C,MATCH($A10,'Smelter Look-up'!$E:$E,0)))</f>
        <v>PT Sukses Inti Makmur</v>
      </c>
      <c r="D10" s="216"/>
      <c r="E10" s="216" t="str">
        <f ca="1">IF(ISERROR($V10),"",OFFSET('Smelter Look-up'!$D$4,$V10-4,0)&amp;"")</f>
        <v>INDONESIA</v>
      </c>
      <c r="F10" s="216" t="str">
        <f ca="1">IF(ISERROR($V10),"",OFFSET('Smelter Look-up'!$E$4,$V10-4,0))</f>
        <v>CID002816</v>
      </c>
      <c r="G10" s="216" t="str">
        <f ca="1">IF(C10=$X$4,"Enter smelter details", IF(ISERROR($V10),"",OFFSET('Smelter Look-up'!$F$4,$V10-4,0)))</f>
        <v>RMI</v>
      </c>
      <c r="H10" s="217">
        <f ca="1">IF(ISERROR($V10),"",OFFSET('Smelter Look-up'!$G$4,$V10-4,0))</f>
        <v>0</v>
      </c>
      <c r="I10" s="218" t="str">
        <f ca="1">IF(ISERROR($V10),"",OFFSET('Smelter Look-up'!$H$4,$V10-4,0))</f>
        <v>Sungai Samak</v>
      </c>
      <c r="J10" s="218" t="str">
        <f ca="1">IF(ISERROR($V10),"",OFFSET('Smelter Look-up'!$I$4,$V10-4,0))</f>
        <v>Kepulauan Bangka Belitung</v>
      </c>
      <c r="K10" s="267"/>
      <c r="L10" s="267"/>
      <c r="M10" s="267"/>
      <c r="N10" s="267"/>
      <c r="O10" s="267"/>
      <c r="P10" s="219"/>
      <c r="Q10" s="268" t="s">
        <v>15507</v>
      </c>
      <c r="R10" s="216" t="str">
        <f ca="1">IF(ISERROR($V10),"",OFFSET('Smelter Look-up'!$C$4,$V10-4,0)&amp;"")</f>
        <v>PT Sukses Inti Makmur</v>
      </c>
      <c r="S10" s="224" t="str">
        <f t="shared" ca="1" si="0"/>
        <v>ID</v>
      </c>
      <c r="T10" s="224" t="str">
        <f ca="1">IF(B10="","",IF(ISERROR(MATCH($J10,SorP!$B$1:$B$6230,0)),"",INDIRECT("'SorP'!$A$"&amp;MATCH($J10,SorP!$B$1:$B$6230,0))))</f>
        <v>ID-BB</v>
      </c>
      <c r="U10" s="239"/>
      <c r="V10" s="269">
        <f ca="1">IF(C10="",NA(),MATCH($B10&amp;$C10,'Smelter Look-up'!$J:$J,0))</f>
        <v>469</v>
      </c>
      <c r="W10" s="270"/>
      <c r="X10" s="270">
        <f t="shared" ca="1" si="1"/>
        <v>0</v>
      </c>
      <c r="Y10" s="270"/>
      <c r="Z10" s="270"/>
      <c r="AB10" s="272" t="str">
        <f t="shared" ca="1" si="2"/>
        <v>TinPT Sukses Inti Makmur</v>
      </c>
    </row>
    <row r="11" spans="1:34" s="271" customFormat="1" ht="27.95" customHeight="1">
      <c r="A11" s="215" t="s">
        <v>888</v>
      </c>
      <c r="B11" s="216" t="str">
        <f ca="1">IF(LEN(A11)=0,"",INDEX('Smelter Look-up'!$A:$A,MATCH($A11,'Smelter Look-up'!$E:$E,0)))</f>
        <v>Tin</v>
      </c>
      <c r="C11" s="220" t="str">
        <f ca="1">IF(LEN(A11)=0,"",INDEX('Smelter Look-up'!$C:$C,MATCH($A11,'Smelter Look-up'!$E:$E,0)))</f>
        <v>PT Refined Bangka Tin</v>
      </c>
      <c r="D11" s="216"/>
      <c r="E11" s="216" t="str">
        <f ca="1">IF(ISERROR($V11),"",OFFSET('Smelter Look-up'!$D$4,$V11-4,0)&amp;"")</f>
        <v>INDONESIA</v>
      </c>
      <c r="F11" s="216" t="str">
        <f ca="1">IF(ISERROR($V11),"",OFFSET('Smelter Look-up'!$E$4,$V11-4,0))</f>
        <v>CID001460</v>
      </c>
      <c r="G11" s="216" t="str">
        <f ca="1">IF(C11=$X$4,"Enter smelter details", IF(ISERROR($V11),"",OFFSET('Smelter Look-up'!$F$4,$V11-4,0)))</f>
        <v>RMI</v>
      </c>
      <c r="H11" s="217">
        <f ca="1">IF(ISERROR($V11),"",OFFSET('Smelter Look-up'!$G$4,$V11-4,0))</f>
        <v>0</v>
      </c>
      <c r="I11" s="218" t="str">
        <f ca="1">IF(ISERROR($V11),"",OFFSET('Smelter Look-up'!$H$4,$V11-4,0))</f>
        <v>Sungailiat</v>
      </c>
      <c r="J11" s="218" t="str">
        <f ca="1">IF(ISERROR($V11),"",OFFSET('Smelter Look-up'!$I$4,$V11-4,0))</f>
        <v>Kepulauan Bangka Belitung</v>
      </c>
      <c r="K11" s="267"/>
      <c r="L11" s="267"/>
      <c r="M11" s="267"/>
      <c r="N11" s="267"/>
      <c r="O11" s="267"/>
      <c r="P11" s="219"/>
      <c r="Q11" s="268" t="s">
        <v>15507</v>
      </c>
      <c r="R11" s="216" t="str">
        <f ca="1">IF(ISERROR($V11),"",OFFSET('Smelter Look-up'!$C$4,$V11-4,0)&amp;"")</f>
        <v>PT Refined Bangka Tin</v>
      </c>
      <c r="S11" s="224" t="str">
        <f t="shared" ca="1" si="0"/>
        <v>ID</v>
      </c>
      <c r="T11" s="224" t="str">
        <f ca="1">IF(B11="","",IF(ISERROR(MATCH($J11,SorP!$B$1:$B$6230,0)),"",INDIRECT("'SorP'!$A$"&amp;MATCH($J11,SorP!$B$1:$B$6230,0))))</f>
        <v>ID-BB</v>
      </c>
      <c r="U11" s="239"/>
      <c r="V11" s="269">
        <f ca="1">IF(C11="",NA(),MATCH($B11&amp;$C11,'Smelter Look-up'!$J:$J,0))</f>
        <v>466</v>
      </c>
      <c r="W11" s="270"/>
      <c r="X11" s="270">
        <f t="shared" ca="1" si="1"/>
        <v>0</v>
      </c>
      <c r="Y11" s="270"/>
      <c r="Z11" s="270"/>
      <c r="AB11" s="272" t="str">
        <f t="shared" ca="1" si="2"/>
        <v>TinPT Refined Bangka Tin</v>
      </c>
    </row>
    <row r="12" spans="1:34" s="271" customFormat="1" ht="50.1" customHeight="1">
      <c r="A12" s="215" t="s">
        <v>863</v>
      </c>
      <c r="B12" s="216" t="str">
        <f ca="1">IF(LEN(A12)=0,"",INDEX('Smelter Look-up'!$A:$A,MATCH($A12,'Smelter Look-up'!$E:$E,0)))</f>
        <v>Tin</v>
      </c>
      <c r="C12" s="220" t="str">
        <f ca="1">IF(LEN(A12)=0,"",INDEX('Smelter Look-up'!$C:$C,MATCH($A12,'Smelter Look-up'!$E:$E,0)))</f>
        <v>EM Vinto</v>
      </c>
      <c r="D12" s="216"/>
      <c r="E12" s="216" t="str">
        <f ca="1">IF(ISERROR($V12),"",OFFSET('Smelter Look-up'!$D$4,$V12-4,0)&amp;"")</f>
        <v>BOLIVIA (PLURINATIONAL STATE OF)</v>
      </c>
      <c r="F12" s="216" t="str">
        <f ca="1">IF(ISERROR($V12),"",OFFSET('Smelter Look-up'!$E$4,$V12-4,0))</f>
        <v>CID000438</v>
      </c>
      <c r="G12" s="216" t="str">
        <f ca="1">IF(C12=$X$4,"Enter smelter details", IF(ISERROR($V12),"",OFFSET('Smelter Look-up'!$F$4,$V12-4,0)))</f>
        <v>RMI</v>
      </c>
      <c r="H12" s="217">
        <f ca="1">IF(ISERROR($V12),"",OFFSET('Smelter Look-up'!$G$4,$V12-4,0))</f>
        <v>0</v>
      </c>
      <c r="I12" s="218" t="str">
        <f ca="1">IF(ISERROR($V12),"",OFFSET('Smelter Look-up'!$H$4,$V12-4,0))</f>
        <v>Oruro</v>
      </c>
      <c r="J12" s="218" t="str">
        <f ca="1">IF(ISERROR($V12),"",OFFSET('Smelter Look-up'!$I$4,$V12-4,0))</f>
        <v>Oruro</v>
      </c>
      <c r="K12" s="267"/>
      <c r="L12" s="267"/>
      <c r="M12" s="267"/>
      <c r="N12" s="267"/>
      <c r="O12" s="267"/>
      <c r="P12" s="219"/>
      <c r="Q12" s="268" t="s">
        <v>15507</v>
      </c>
      <c r="R12" s="216" t="str">
        <f ca="1">IF(ISERROR($V12),"",OFFSET('Smelter Look-up'!$C$4,$V12-4,0)&amp;"")</f>
        <v>EM Vinto</v>
      </c>
      <c r="S12" s="224" t="str">
        <f t="shared" ca="1" si="0"/>
        <v>BO</v>
      </c>
      <c r="T12" s="224" t="str">
        <f ca="1">IF(B12="","",IF(ISERROR(MATCH($J12,SorP!$B$1:$B$6230,0)),"",INDIRECT("'SorP'!$A$"&amp;MATCH($J12,SorP!$B$1:$B$6230,0))))</f>
        <v>BO-O</v>
      </c>
      <c r="U12" s="239"/>
      <c r="V12" s="269">
        <f ca="1">IF(C12="",NA(),MATCH($B12&amp;$C12,'Smelter Look-up'!$J:$J,0))</f>
        <v>380</v>
      </c>
      <c r="W12" s="270"/>
      <c r="X12" s="270">
        <f t="shared" ca="1" si="1"/>
        <v>0</v>
      </c>
      <c r="Y12" s="270"/>
      <c r="Z12" s="270"/>
      <c r="AB12" s="272" t="str">
        <f t="shared" ca="1" si="2"/>
        <v>TinEM Vinto</v>
      </c>
    </row>
    <row r="13" spans="1:34" s="271" customFormat="1" ht="27.95" customHeight="1">
      <c r="A13" s="215" t="s">
        <v>889</v>
      </c>
      <c r="B13" s="216" t="str">
        <f ca="1">IF(LEN(A13)=0,"",INDEX('Smelter Look-up'!$A:$A,MATCH($A13,'Smelter Look-up'!$E:$E,0)))</f>
        <v>Tin</v>
      </c>
      <c r="C13" s="220" t="str">
        <f ca="1">IF(LEN(A13)=0,"",INDEX('Smelter Look-up'!$C:$C,MATCH($A13,'Smelter Look-up'!$E:$E,0)))</f>
        <v>PT Sariwiguna Binasentosa</v>
      </c>
      <c r="D13" s="216"/>
      <c r="E13" s="216" t="str">
        <f ca="1">IF(ISERROR($V13),"",OFFSET('Smelter Look-up'!$D$4,$V13-4,0)&amp;"")</f>
        <v>INDONESIA</v>
      </c>
      <c r="F13" s="216" t="str">
        <f ca="1">IF(ISERROR($V13),"",OFFSET('Smelter Look-up'!$E$4,$V13-4,0))</f>
        <v>CID001463</v>
      </c>
      <c r="G13" s="216" t="str">
        <f ca="1">IF(C13=$X$4,"Enter smelter details", IF(ISERROR($V13),"",OFFSET('Smelter Look-up'!$F$4,$V13-4,0)))</f>
        <v>RMI</v>
      </c>
      <c r="H13" s="217">
        <f ca="1">IF(ISERROR($V13),"",OFFSET('Smelter Look-up'!$G$4,$V13-4,0))</f>
        <v>0</v>
      </c>
      <c r="I13" s="218" t="str">
        <f ca="1">IF(ISERROR($V13),"",OFFSET('Smelter Look-up'!$H$4,$V13-4,0))</f>
        <v>Pangkal Pinang</v>
      </c>
      <c r="J13" s="218" t="str">
        <f ca="1">IF(ISERROR($V13),"",OFFSET('Smelter Look-up'!$I$4,$V13-4,0))</f>
        <v>Kepulauan Bangka Belitung</v>
      </c>
      <c r="K13" s="267"/>
      <c r="L13" s="267"/>
      <c r="M13" s="267"/>
      <c r="N13" s="267"/>
      <c r="O13" s="267"/>
      <c r="P13" s="219"/>
      <c r="Q13" s="268" t="s">
        <v>15507</v>
      </c>
      <c r="R13" s="216" t="str">
        <f ca="1">IF(ISERROR($V13),"",OFFSET('Smelter Look-up'!$C$4,$V13-4,0)&amp;"")</f>
        <v>PT Sariwiguna Binasentosa</v>
      </c>
      <c r="S13" s="224" t="str">
        <f t="shared" ca="1" si="0"/>
        <v>ID</v>
      </c>
      <c r="T13" s="224" t="str">
        <f ca="1">IF(B13="","",IF(ISERROR(MATCH($J13,SorP!$B$1:$B$6230,0)),"",INDIRECT("'SorP'!$A$"&amp;MATCH($J13,SorP!$B$1:$B$6230,0))))</f>
        <v>ID-BB</v>
      </c>
      <c r="U13" s="239"/>
      <c r="V13" s="269">
        <f ca="1">IF(C13="",NA(),MATCH($B13&amp;$C13,'Smelter Look-up'!$J:$J,0))</f>
        <v>467</v>
      </c>
      <c r="W13" s="270"/>
      <c r="X13" s="270">
        <f t="shared" ca="1" si="1"/>
        <v>0</v>
      </c>
      <c r="Y13" s="270"/>
      <c r="Z13" s="270"/>
      <c r="AB13" s="272" t="str">
        <f t="shared" ca="1" si="2"/>
        <v>TinPT Sariwiguna Binasentosa</v>
      </c>
    </row>
    <row r="14" spans="1:34" s="271" customFormat="1" ht="27.95" customHeight="1">
      <c r="A14" s="215" t="s">
        <v>1545</v>
      </c>
      <c r="B14" s="216" t="str">
        <f ca="1">IF(LEN(A14)=0,"",INDEX('Smelter Look-up'!$A:$A,MATCH($A14,'Smelter Look-up'!$E:$E,0)))</f>
        <v>Tin</v>
      </c>
      <c r="C14" s="220" t="str">
        <f ca="1">IF(LEN(A14)=0,"",INDEX('Smelter Look-up'!$C:$C,MATCH($A14,'Smelter Look-up'!$E:$E,0)))</f>
        <v>PT ATD Makmur Mandiri Jaya</v>
      </c>
      <c r="D14" s="216"/>
      <c r="E14" s="216" t="str">
        <f ca="1">IF(ISERROR($V14),"",OFFSET('Smelter Look-up'!$D$4,$V14-4,0)&amp;"")</f>
        <v>INDONESIA</v>
      </c>
      <c r="F14" s="216" t="str">
        <f ca="1">IF(ISERROR($V14),"",OFFSET('Smelter Look-up'!$E$4,$V14-4,0))</f>
        <v>CID002503</v>
      </c>
      <c r="G14" s="216" t="str">
        <f ca="1">IF(C14=$X$4,"Enter smelter details", IF(ISERROR($V14),"",OFFSET('Smelter Look-up'!$F$4,$V14-4,0)))</f>
        <v>RMI</v>
      </c>
      <c r="H14" s="217">
        <f ca="1">IF(ISERROR($V14),"",OFFSET('Smelter Look-up'!$G$4,$V14-4,0))</f>
        <v>0</v>
      </c>
      <c r="I14" s="218" t="str">
        <f ca="1">IF(ISERROR($V14),"",OFFSET('Smelter Look-up'!$H$4,$V14-4,0))</f>
        <v>Sungailiat</v>
      </c>
      <c r="J14" s="218" t="str">
        <f ca="1">IF(ISERROR($V14),"",OFFSET('Smelter Look-up'!$I$4,$V14-4,0))</f>
        <v>Kepulauan Bangka Belitung</v>
      </c>
      <c r="K14" s="267"/>
      <c r="L14" s="267"/>
      <c r="M14" s="267"/>
      <c r="N14" s="267"/>
      <c r="O14" s="267"/>
      <c r="P14" s="219"/>
      <c r="Q14" s="268" t="s">
        <v>15507</v>
      </c>
      <c r="R14" s="216" t="str">
        <f ca="1">IF(ISERROR($V14),"",OFFSET('Smelter Look-up'!$C$4,$V14-4,0)&amp;"")</f>
        <v>PT ATD Makmur Mandiri Jaya</v>
      </c>
      <c r="S14" s="224" t="str">
        <f t="shared" ca="1" si="0"/>
        <v>ID</v>
      </c>
      <c r="T14" s="224" t="str">
        <f ca="1">IF(B14="","",IF(ISERROR(MATCH($J14,SorP!$B$1:$B$6230,0)),"",INDIRECT("'SorP'!$A$"&amp;MATCH($J14,SorP!$B$1:$B$6230,0))))</f>
        <v>ID-BB</v>
      </c>
      <c r="U14" s="239"/>
      <c r="V14" s="269">
        <f ca="1">IF(C14="",NA(),MATCH($B14&amp;$C14,'Smelter Look-up'!$J:$J,0))</f>
        <v>444</v>
      </c>
      <c r="W14" s="270"/>
      <c r="X14" s="270">
        <f t="shared" ca="1" si="1"/>
        <v>0</v>
      </c>
      <c r="Y14" s="270"/>
      <c r="Z14" s="270"/>
      <c r="AB14" s="272" t="str">
        <f t="shared" ca="1" si="2"/>
        <v>TinPT ATD Makmur Mandiri Jaya</v>
      </c>
    </row>
    <row r="15" spans="1:34" s="271" customFormat="1" ht="27.95" customHeight="1">
      <c r="A15" s="215" t="s">
        <v>2735</v>
      </c>
      <c r="B15" s="216" t="str">
        <f ca="1">IF(LEN(A15)=0,"",INDEX('Smelter Look-up'!$A:$A,MATCH($A15,'Smelter Look-up'!$E:$E,0)))</f>
        <v>Tin</v>
      </c>
      <c r="C15" s="220" t="str">
        <f ca="1">IF(LEN(A15)=0,"",INDEX('Smelter Look-up'!$C:$C,MATCH($A15,'Smelter Look-up'!$E:$E,0)))</f>
        <v>CV Dua Sekawan</v>
      </c>
      <c r="D15" s="216"/>
      <c r="E15" s="216" t="str">
        <f ca="1">IF(ISERROR($V15),"",OFFSET('Smelter Look-up'!$D$4,$V15-4,0)&amp;"")</f>
        <v>INDONESIA</v>
      </c>
      <c r="F15" s="216" t="str">
        <f ca="1">IF(ISERROR($V15),"",OFFSET('Smelter Look-up'!$E$4,$V15-4,0))</f>
        <v>CID002592</v>
      </c>
      <c r="G15" s="216" t="str">
        <f ca="1">IF(C15=$X$4,"Enter smelter details", IF(ISERROR($V15),"",OFFSET('Smelter Look-up'!$F$4,$V15-4,0)))</f>
        <v>RMI</v>
      </c>
      <c r="H15" s="217">
        <f ca="1">IF(ISERROR($V15),"",OFFSET('Smelter Look-up'!$G$4,$V15-4,0))</f>
        <v>0</v>
      </c>
      <c r="I15" s="218" t="str">
        <f ca="1">IF(ISERROR($V15),"",OFFSET('Smelter Look-up'!$H$4,$V15-4,0))</f>
        <v>Pangkal Pinang</v>
      </c>
      <c r="J15" s="218" t="str">
        <f ca="1">IF(ISERROR($V15),"",OFFSET('Smelter Look-up'!$I$4,$V15-4,0))</f>
        <v>Kepulauan Bangka Belitung</v>
      </c>
      <c r="K15" s="267"/>
      <c r="L15" s="267"/>
      <c r="M15" s="267"/>
      <c r="N15" s="267"/>
      <c r="O15" s="267"/>
      <c r="P15" s="219"/>
      <c r="Q15" s="268" t="s">
        <v>15507</v>
      </c>
      <c r="R15" s="216" t="str">
        <f ca="1">IF(ISERROR($V15),"",OFFSET('Smelter Look-up'!$C$4,$V15-4,0)&amp;"")</f>
        <v>CV Dua Sekawan</v>
      </c>
      <c r="S15" s="224" t="str">
        <f t="shared" ca="1" si="0"/>
        <v>ID</v>
      </c>
      <c r="T15" s="224" t="str">
        <f ca="1">IF(B15="","",IF(ISERROR(MATCH($J15,SorP!$B$1:$B$6230,0)),"",INDIRECT("'SorP'!$A$"&amp;MATCH($J15,SorP!$B$1:$B$6230,0))))</f>
        <v>ID-BB</v>
      </c>
      <c r="U15" s="239"/>
      <c r="V15" s="269">
        <f ca="1">IF(C15="",NA(),MATCH($B15&amp;$C15,'Smelter Look-up'!$J:$J,0))</f>
        <v>369</v>
      </c>
      <c r="W15" s="270"/>
      <c r="X15" s="270">
        <f t="shared" ca="1" si="1"/>
        <v>0</v>
      </c>
      <c r="Y15" s="270"/>
      <c r="Z15" s="270"/>
      <c r="AB15" s="272" t="str">
        <f t="shared" ca="1" si="2"/>
        <v>TinCV Dua Sekawan</v>
      </c>
    </row>
    <row r="16" spans="1:34" s="271" customFormat="1" ht="27.95" customHeight="1">
      <c r="A16" s="215" t="s">
        <v>2640</v>
      </c>
      <c r="B16" s="216" t="str">
        <f ca="1">IF(LEN(A16)=0,"",INDEX('Smelter Look-up'!$A:$A,MATCH($A16,'Smelter Look-up'!$E:$E,0)))</f>
        <v>Tin</v>
      </c>
      <c r="C16" s="220" t="str">
        <f ca="1">IF(LEN(A16)=0,"",INDEX('Smelter Look-up'!$C:$C,MATCH($A16,'Smelter Look-up'!$E:$E,0)))</f>
        <v>PT Bangka Prima Tin</v>
      </c>
      <c r="D16" s="216"/>
      <c r="E16" s="216" t="str">
        <f ca="1">IF(ISERROR($V16),"",OFFSET('Smelter Look-up'!$D$4,$V16-4,0)&amp;"")</f>
        <v>INDONESIA</v>
      </c>
      <c r="F16" s="216" t="str">
        <f ca="1">IF(ISERROR($V16),"",OFFSET('Smelter Look-up'!$E$4,$V16-4,0))</f>
        <v>CID002776</v>
      </c>
      <c r="G16" s="216" t="str">
        <f ca="1">IF(C16=$X$4,"Enter smelter details", IF(ISERROR($V16),"",OFFSET('Smelter Look-up'!$F$4,$V16-4,0)))</f>
        <v>RMI</v>
      </c>
      <c r="H16" s="217">
        <f ca="1">IF(ISERROR($V16),"",OFFSET('Smelter Look-up'!$G$4,$V16-4,0))</f>
        <v>0</v>
      </c>
      <c r="I16" s="218" t="str">
        <f ca="1">IF(ISERROR($V16),"",OFFSET('Smelter Look-up'!$H$4,$V16-4,0))</f>
        <v>Air Mesu</v>
      </c>
      <c r="J16" s="218" t="str">
        <f ca="1">IF(ISERROR($V16),"",OFFSET('Smelter Look-up'!$I$4,$V16-4,0))</f>
        <v>Kepulauan Bangka Belitung</v>
      </c>
      <c r="K16" s="267"/>
      <c r="L16" s="267"/>
      <c r="M16" s="267"/>
      <c r="N16" s="267"/>
      <c r="O16" s="267"/>
      <c r="P16" s="219"/>
      <c r="Q16" s="268" t="s">
        <v>15507</v>
      </c>
      <c r="R16" s="216" t="str">
        <f ca="1">IF(ISERROR($V16),"",OFFSET('Smelter Look-up'!$C$4,$V16-4,0)&amp;"")</f>
        <v>PT Bangka Prima Tin</v>
      </c>
      <c r="S16" s="224" t="str">
        <f t="shared" ca="1" si="0"/>
        <v>ID</v>
      </c>
      <c r="T16" s="224" t="str">
        <f ca="1">IF(B16="","",IF(ISERROR(MATCH($J16,SorP!$B$1:$B$6230,0)),"",INDIRECT("'SorP'!$A$"&amp;MATCH($J16,SorP!$B$1:$B$6230,0))))</f>
        <v>ID-BB</v>
      </c>
      <c r="U16" s="239"/>
      <c r="V16" s="269">
        <f ca="1">IF(C16="",NA(),MATCH($B16&amp;$C16,'Smelter Look-up'!$J:$J,0))</f>
        <v>447</v>
      </c>
      <c r="W16" s="270"/>
      <c r="X16" s="270">
        <f t="shared" ca="1" si="1"/>
        <v>0</v>
      </c>
      <c r="Y16" s="270"/>
      <c r="Z16" s="270"/>
      <c r="AB16" s="272" t="str">
        <f t="shared" ca="1" si="2"/>
        <v>TinPT Bangka Prima Tin</v>
      </c>
    </row>
    <row r="17" spans="1:28" s="271" customFormat="1" ht="27.95" customHeight="1">
      <c r="A17" s="215" t="s">
        <v>887</v>
      </c>
      <c r="B17" s="216" t="str">
        <f ca="1">IF(LEN(A17)=0,"",INDEX('Smelter Look-up'!$A:$A,MATCH($A17,'Smelter Look-up'!$E:$E,0)))</f>
        <v>Tin</v>
      </c>
      <c r="C17" s="220" t="str">
        <f ca="1">IF(LEN(A17)=0,"",INDEX('Smelter Look-up'!$C:$C,MATCH($A17,'Smelter Look-up'!$E:$E,0)))</f>
        <v>PT Prima Timah Utama</v>
      </c>
      <c r="D17" s="216"/>
      <c r="E17" s="216" t="str">
        <f ca="1">IF(ISERROR($V17),"",OFFSET('Smelter Look-up'!$D$4,$V17-4,0)&amp;"")</f>
        <v>INDONESIA</v>
      </c>
      <c r="F17" s="216" t="str">
        <f ca="1">IF(ISERROR($V17),"",OFFSET('Smelter Look-up'!$E$4,$V17-4,0))</f>
        <v>CID001458</v>
      </c>
      <c r="G17" s="216" t="str">
        <f ca="1">IF(C17=$X$4,"Enter smelter details", IF(ISERROR($V17),"",OFFSET('Smelter Look-up'!$F$4,$V17-4,0)))</f>
        <v>RMI</v>
      </c>
      <c r="H17" s="217">
        <f ca="1">IF(ISERROR($V17),"",OFFSET('Smelter Look-up'!$G$4,$V17-4,0))</f>
        <v>0</v>
      </c>
      <c r="I17" s="218" t="str">
        <f ca="1">IF(ISERROR($V17),"",OFFSET('Smelter Look-up'!$H$4,$V17-4,0))</f>
        <v>Pangkal Pinang</v>
      </c>
      <c r="J17" s="218" t="str">
        <f ca="1">IF(ISERROR($V17),"",OFFSET('Smelter Look-up'!$I$4,$V17-4,0))</f>
        <v>Kepulauan Bangka Belitung</v>
      </c>
      <c r="K17" s="267"/>
      <c r="L17" s="267"/>
      <c r="M17" s="267"/>
      <c r="N17" s="267"/>
      <c r="O17" s="267"/>
      <c r="P17" s="219"/>
      <c r="Q17" s="268" t="s">
        <v>15507</v>
      </c>
      <c r="R17" s="216" t="str">
        <f ca="1">IF(ISERROR($V17),"",OFFSET('Smelter Look-up'!$C$4,$V17-4,0)&amp;"")</f>
        <v>PT Prima Timah Utama</v>
      </c>
      <c r="S17" s="224" t="str">
        <f t="shared" ca="1" si="0"/>
        <v>ID</v>
      </c>
      <c r="T17" s="224" t="str">
        <f ca="1">IF(B17="","",IF(ISERROR(MATCH($J17,SorP!$B$1:$B$6230,0)),"",INDIRECT("'SorP'!$A$"&amp;MATCH($J17,SorP!$B$1:$B$6230,0))))</f>
        <v>ID-BB</v>
      </c>
      <c r="U17" s="239"/>
      <c r="V17" s="269">
        <f ca="1">IF(C17="",NA(),MATCH($B17&amp;$C17,'Smelter Look-up'!$J:$J,0))</f>
        <v>463</v>
      </c>
      <c r="W17" s="270"/>
      <c r="X17" s="270">
        <f t="shared" ca="1" si="1"/>
        <v>0</v>
      </c>
      <c r="Y17" s="270"/>
      <c r="Z17" s="270"/>
      <c r="AB17" s="272" t="str">
        <f t="shared" ca="1" si="2"/>
        <v>TinPT Prima Timah Utama</v>
      </c>
    </row>
    <row r="18" spans="1:28" s="271" customFormat="1" ht="27.95" customHeight="1">
      <c r="A18" s="215" t="s">
        <v>2062</v>
      </c>
      <c r="B18" s="216" t="str">
        <f ca="1">IF(LEN(A18)=0,"",INDEX('Smelter Look-up'!$A:$A,MATCH($A18,'Smelter Look-up'!$E:$E,0)))</f>
        <v>Tin</v>
      </c>
      <c r="C18" s="220" t="str">
        <f ca="1">IF(LEN(A18)=0,"",INDEX('Smelter Look-up'!$C:$C,MATCH($A18,'Smelter Look-up'!$E:$E,0)))</f>
        <v>CV Ayi Jaya</v>
      </c>
      <c r="D18" s="216"/>
      <c r="E18" s="216" t="str">
        <f ca="1">IF(ISERROR($V18),"",OFFSET('Smelter Look-up'!$D$4,$V18-4,0)&amp;"")</f>
        <v>INDONESIA</v>
      </c>
      <c r="F18" s="216" t="str">
        <f ca="1">IF(ISERROR($V18),"",OFFSET('Smelter Look-up'!$E$4,$V18-4,0))</f>
        <v>CID002570</v>
      </c>
      <c r="G18" s="216" t="str">
        <f ca="1">IF(C18=$X$4,"Enter smelter details", IF(ISERROR($V18),"",OFFSET('Smelter Look-up'!$F$4,$V18-4,0)))</f>
        <v>RMI</v>
      </c>
      <c r="H18" s="217">
        <f ca="1">IF(ISERROR($V18),"",OFFSET('Smelter Look-up'!$G$4,$V18-4,0))</f>
        <v>0</v>
      </c>
      <c r="I18" s="218" t="str">
        <f ca="1">IF(ISERROR($V18),"",OFFSET('Smelter Look-up'!$H$4,$V18-4,0))</f>
        <v>Sungailiat</v>
      </c>
      <c r="J18" s="218" t="str">
        <f ca="1">IF(ISERROR($V18),"",OFFSET('Smelter Look-up'!$I$4,$V18-4,0))</f>
        <v>Kepulauan Bangka Belitung</v>
      </c>
      <c r="K18" s="267"/>
      <c r="L18" s="267"/>
      <c r="M18" s="267"/>
      <c r="N18" s="267"/>
      <c r="O18" s="267"/>
      <c r="P18" s="219"/>
      <c r="Q18" s="268" t="s">
        <v>15507</v>
      </c>
      <c r="R18" s="216" t="str">
        <f ca="1">IF(ISERROR($V18),"",OFFSET('Smelter Look-up'!$C$4,$V18-4,0)&amp;"")</f>
        <v>CV Ayi Jaya</v>
      </c>
      <c r="S18" s="224" t="str">
        <f t="shared" ca="1" si="0"/>
        <v>ID</v>
      </c>
      <c r="T18" s="224" t="str">
        <f ca="1">IF(B18="","",IF(ISERROR(MATCH($J18,SorP!$B$1:$B$6230,0)),"",INDIRECT("'SorP'!$A$"&amp;MATCH($J18,SorP!$B$1:$B$6230,0))))</f>
        <v>ID-BB</v>
      </c>
      <c r="U18" s="239"/>
      <c r="V18" s="269">
        <f ca="1">IF(C18="",NA(),MATCH($B18&amp;$C18,'Smelter Look-up'!$J:$J,0))</f>
        <v>368</v>
      </c>
      <c r="W18" s="270"/>
      <c r="X18" s="270">
        <f t="shared" ca="1" si="1"/>
        <v>0</v>
      </c>
      <c r="Y18" s="270"/>
      <c r="Z18" s="270"/>
      <c r="AB18" s="272" t="str">
        <f t="shared" ca="1" si="2"/>
        <v>TinCV Ayi Jaya</v>
      </c>
    </row>
    <row r="19" spans="1:28" s="271" customFormat="1" ht="27.95" customHeight="1">
      <c r="A19" s="215" t="s">
        <v>914</v>
      </c>
      <c r="B19" s="216" t="str">
        <f ca="1">IF(LEN(A19)=0,"",INDEX('Smelter Look-up'!$A:$A,MATCH($A19,'Smelter Look-up'!$E:$E,0)))</f>
        <v>Tin</v>
      </c>
      <c r="C19" s="220" t="str">
        <f ca="1">IF(LEN(A19)=0,"",INDEX('Smelter Look-up'!$C:$C,MATCH($A19,'Smelter Look-up'!$E:$E,0)))</f>
        <v>PT Timah Tbk Kundur</v>
      </c>
      <c r="D19" s="216"/>
      <c r="E19" s="216" t="str">
        <f ca="1">IF(ISERROR($V19),"",OFFSET('Smelter Look-up'!$D$4,$V19-4,0)&amp;"")</f>
        <v>INDONESIA</v>
      </c>
      <c r="F19" s="216" t="str">
        <f ca="1">IF(ISERROR($V19),"",OFFSET('Smelter Look-up'!$E$4,$V19-4,0))</f>
        <v>CID001477</v>
      </c>
      <c r="G19" s="216" t="str">
        <f ca="1">IF(C19=$X$4,"Enter smelter details", IF(ISERROR($V19),"",OFFSET('Smelter Look-up'!$F$4,$V19-4,0)))</f>
        <v>RMI</v>
      </c>
      <c r="H19" s="217">
        <f ca="1">IF(ISERROR($V19),"",OFFSET('Smelter Look-up'!$G$4,$V19-4,0))</f>
        <v>0</v>
      </c>
      <c r="I19" s="218" t="str">
        <f ca="1">IF(ISERROR($V19),"",OFFSET('Smelter Look-up'!$H$4,$V19-4,0))</f>
        <v>Kundur</v>
      </c>
      <c r="J19" s="218" t="str">
        <f ca="1">IF(ISERROR($V19),"",OFFSET('Smelter Look-up'!$I$4,$V19-4,0))</f>
        <v>Riau</v>
      </c>
      <c r="K19" s="267"/>
      <c r="L19" s="267"/>
      <c r="M19" s="267"/>
      <c r="N19" s="267"/>
      <c r="O19" s="267"/>
      <c r="P19" s="219"/>
      <c r="Q19" s="268" t="s">
        <v>15524</v>
      </c>
      <c r="R19" s="216" t="str">
        <f ca="1">IF(ISERROR($V19),"",OFFSET('Smelter Look-up'!$C$4,$V19-4,0)&amp;"")</f>
        <v>PT Timah Tbk Kundur</v>
      </c>
      <c r="S19" s="224" t="str">
        <f t="shared" ca="1" si="0"/>
        <v>ID</v>
      </c>
      <c r="T19" s="224" t="str">
        <f ca="1">IF(B19="","",IF(ISERROR(MATCH($J19,SorP!$B$1:$B$6230,0)),"",INDIRECT("'SorP'!$A$"&amp;MATCH($J19,SorP!$B$1:$B$6230,0))))</f>
        <v>ID-RI</v>
      </c>
      <c r="U19" s="239"/>
      <c r="V19" s="269">
        <f ca="1">IF(C19="",NA(),MATCH($B19&amp;$C19,'Smelter Look-up'!$J:$J,0))</f>
        <v>472</v>
      </c>
      <c r="W19" s="270"/>
      <c r="X19" s="270">
        <f t="shared" ca="1" si="1"/>
        <v>0</v>
      </c>
      <c r="Y19" s="270"/>
      <c r="Z19" s="270"/>
      <c r="AB19" s="272" t="str">
        <f t="shared" ca="1" si="2"/>
        <v>TinPT Timah Tbk Kundur</v>
      </c>
    </row>
    <row r="20" spans="1:28" s="271" customFormat="1" ht="27.95" customHeight="1">
      <c r="A20" s="215" t="s">
        <v>890</v>
      </c>
      <c r="B20" s="216" t="str">
        <f ca="1">IF(LEN(A20)=0,"",INDEX('Smelter Look-up'!$A:$A,MATCH($A20,'Smelter Look-up'!$E:$E,0)))</f>
        <v>Tin</v>
      </c>
      <c r="C20" s="220" t="str">
        <f ca="1">IF(LEN(A20)=0,"",INDEX('Smelter Look-up'!$C:$C,MATCH($A20,'Smelter Look-up'!$E:$E,0)))</f>
        <v>PT Stanindo Inti Perkasa</v>
      </c>
      <c r="D20" s="216"/>
      <c r="E20" s="216" t="str">
        <f ca="1">IF(ISERROR($V20),"",OFFSET('Smelter Look-up'!$D$4,$V20-4,0)&amp;"")</f>
        <v>INDONESIA</v>
      </c>
      <c r="F20" s="216" t="str">
        <f ca="1">IF(ISERROR($V20),"",OFFSET('Smelter Look-up'!$E$4,$V20-4,0))</f>
        <v>CID001468</v>
      </c>
      <c r="G20" s="216" t="str">
        <f ca="1">IF(C20=$X$4,"Enter smelter details", IF(ISERROR($V20),"",OFFSET('Smelter Look-up'!$F$4,$V20-4,0)))</f>
        <v>RMI</v>
      </c>
      <c r="H20" s="217">
        <f ca="1">IF(ISERROR($V20),"",OFFSET('Smelter Look-up'!$G$4,$V20-4,0))</f>
        <v>0</v>
      </c>
      <c r="I20" s="218" t="str">
        <f ca="1">IF(ISERROR($V20),"",OFFSET('Smelter Look-up'!$H$4,$V20-4,0))</f>
        <v>Pangkal Pinang</v>
      </c>
      <c r="J20" s="218" t="str">
        <f ca="1">IF(ISERROR($V20),"",OFFSET('Smelter Look-up'!$I$4,$V20-4,0))</f>
        <v>Kepulauan Bangka Belitung</v>
      </c>
      <c r="K20" s="267"/>
      <c r="L20" s="267"/>
      <c r="M20" s="267"/>
      <c r="N20" s="267"/>
      <c r="O20" s="267"/>
      <c r="P20" s="219"/>
      <c r="Q20" s="268" t="s">
        <v>15507</v>
      </c>
      <c r="R20" s="216" t="str">
        <f ca="1">IF(ISERROR($V20),"",OFFSET('Smelter Look-up'!$C$4,$V20-4,0)&amp;"")</f>
        <v>PT Stanindo Inti Perkasa</v>
      </c>
      <c r="S20" s="224" t="str">
        <f t="shared" ca="1" si="0"/>
        <v>ID</v>
      </c>
      <c r="T20" s="224" t="str">
        <f ca="1">IF(B20="","",IF(ISERROR(MATCH($J20,SorP!$B$1:$B$6230,0)),"",INDIRECT("'SorP'!$A$"&amp;MATCH($J20,SorP!$B$1:$B$6230,0))))</f>
        <v>ID-BB</v>
      </c>
      <c r="U20" s="239"/>
      <c r="V20" s="269">
        <f ca="1">IF(C20="",NA(),MATCH($B20&amp;$C20,'Smelter Look-up'!$J:$J,0))</f>
        <v>468</v>
      </c>
      <c r="W20" s="270"/>
      <c r="X20" s="270">
        <f t="shared" ca="1" si="1"/>
        <v>0</v>
      </c>
      <c r="Y20" s="270"/>
      <c r="Z20" s="270"/>
      <c r="AB20" s="272" t="str">
        <f t="shared" ca="1" si="2"/>
        <v>TinPT Stanindo Inti Perkasa</v>
      </c>
    </row>
    <row r="21" spans="1:28" s="271" customFormat="1" ht="27.95" customHeight="1">
      <c r="A21" s="215" t="s">
        <v>872</v>
      </c>
      <c r="B21" s="216" t="str">
        <f ca="1">IF(LEN(A21)=0,"",INDEX('Smelter Look-up'!$A:$A,MATCH($A21,'Smelter Look-up'!$E:$E,0)))</f>
        <v>Tin</v>
      </c>
      <c r="C21" s="220" t="str">
        <f ca="1">IF(LEN(A21)=0,"",INDEX('Smelter Look-up'!$C:$C,MATCH($A21,'Smelter Look-up'!$E:$E,0)))</f>
        <v>Mineracao Taboca S.A.</v>
      </c>
      <c r="D21" s="216"/>
      <c r="E21" s="216" t="str">
        <f ca="1">IF(ISERROR($V21),"",OFFSET('Smelter Look-up'!$D$4,$V21-4,0)&amp;"")</f>
        <v>BRAZIL</v>
      </c>
      <c r="F21" s="216" t="str">
        <f ca="1">IF(ISERROR($V21),"",OFFSET('Smelter Look-up'!$E$4,$V21-4,0))</f>
        <v>CID001173</v>
      </c>
      <c r="G21" s="216" t="str">
        <f ca="1">IF(C21=$X$4,"Enter smelter details", IF(ISERROR($V21),"",OFFSET('Smelter Look-up'!$F$4,$V21-4,0)))</f>
        <v>RMI</v>
      </c>
      <c r="H21" s="217">
        <f ca="1">IF(ISERROR($V21),"",OFFSET('Smelter Look-up'!$G$4,$V21-4,0))</f>
        <v>0</v>
      </c>
      <c r="I21" s="218" t="str">
        <f ca="1">IF(ISERROR($V21),"",OFFSET('Smelter Look-up'!$H$4,$V21-4,0))</f>
        <v>Bairro Guarapiranga</v>
      </c>
      <c r="J21" s="218" t="str">
        <f ca="1">IF(ISERROR($V21),"",OFFSET('Smelter Look-up'!$I$4,$V21-4,0))</f>
        <v>São Paulo</v>
      </c>
      <c r="K21" s="267"/>
      <c r="L21" s="267"/>
      <c r="M21" s="267"/>
      <c r="N21" s="267"/>
      <c r="O21" s="267"/>
      <c r="P21" s="219"/>
      <c r="Q21" s="268" t="s">
        <v>15507</v>
      </c>
      <c r="R21" s="216" t="str">
        <f ca="1">IF(ISERROR($V21),"",OFFSET('Smelter Look-up'!$C$4,$V21-4,0)&amp;"")</f>
        <v>Mineracao Taboca S.A.</v>
      </c>
      <c r="S21" s="224" t="str">
        <f t="shared" ca="1" si="0"/>
        <v>BR</v>
      </c>
      <c r="T21" s="224" t="str">
        <f ca="1">IF(B21="","",IF(ISERROR(MATCH($J21,SorP!$B$1:$B$6230,0)),"",INDIRECT("'SorP'!$A$"&amp;MATCH($J21,SorP!$B$1:$B$6230,0))))</f>
        <v>BR-SP</v>
      </c>
      <c r="U21" s="239"/>
      <c r="V21" s="269">
        <f ca="1">IF(C21="",NA(),MATCH($B21&amp;$C21,'Smelter Look-up'!$J:$J,0))</f>
        <v>425</v>
      </c>
      <c r="W21" s="270"/>
      <c r="X21" s="270">
        <f t="shared" ca="1" si="1"/>
        <v>0</v>
      </c>
      <c r="Y21" s="270"/>
      <c r="Z21" s="270"/>
      <c r="AB21" s="272" t="str">
        <f t="shared" ca="1" si="2"/>
        <v>TinMineracao Taboca S.A.</v>
      </c>
    </row>
    <row r="22" spans="1:28" s="271" customFormat="1" ht="27.95" customHeight="1">
      <c r="A22" s="215" t="s">
        <v>897</v>
      </c>
      <c r="B22" s="216" t="str">
        <f ca="1">IF(LEN(A22)=0,"",INDEX('Smelter Look-up'!$A:$A,MATCH($A22,'Smelter Look-up'!$E:$E,0)))</f>
        <v>Tin</v>
      </c>
      <c r="C22" s="220" t="str">
        <f ca="1">IF(LEN(A22)=0,"",INDEX('Smelter Look-up'!$C:$C,MATCH($A22,'Smelter Look-up'!$E:$E,0)))</f>
        <v>White Solder Metalurgia e Mineracao Ltda.</v>
      </c>
      <c r="D22" s="216"/>
      <c r="E22" s="216" t="str">
        <f ca="1">IF(ISERROR($V22),"",OFFSET('Smelter Look-up'!$D$4,$V22-4,0)&amp;"")</f>
        <v>BRAZIL</v>
      </c>
      <c r="F22" s="216" t="str">
        <f ca="1">IF(ISERROR($V22),"",OFFSET('Smelter Look-up'!$E$4,$V22-4,0))</f>
        <v>CID002036</v>
      </c>
      <c r="G22" s="216" t="str">
        <f ca="1">IF(C22=$X$4,"Enter smelter details", IF(ISERROR($V22),"",OFFSET('Smelter Look-up'!$F$4,$V22-4,0)))</f>
        <v>RMI</v>
      </c>
      <c r="H22" s="217">
        <f ca="1">IF(ISERROR($V22),"",OFFSET('Smelter Look-up'!$G$4,$V22-4,0))</f>
        <v>0</v>
      </c>
      <c r="I22" s="218" t="str">
        <f ca="1">IF(ISERROR($V22),"",OFFSET('Smelter Look-up'!$H$4,$V22-4,0))</f>
        <v>Ariquemes</v>
      </c>
      <c r="J22" s="218" t="str">
        <f ca="1">IF(ISERROR($V22),"",OFFSET('Smelter Look-up'!$I$4,$V22-4,0))</f>
        <v>Rondônia</v>
      </c>
      <c r="K22" s="267"/>
      <c r="L22" s="267"/>
      <c r="M22" s="267"/>
      <c r="N22" s="267"/>
      <c r="O22" s="267"/>
      <c r="P22" s="219"/>
      <c r="Q22" s="268" t="s">
        <v>15507</v>
      </c>
      <c r="R22" s="216" t="str">
        <f ca="1">IF(ISERROR($V22),"",OFFSET('Smelter Look-up'!$C$4,$V22-4,0)&amp;"")</f>
        <v>White Solder Metalurgia e Mineracao Ltda.</v>
      </c>
      <c r="S22" s="224" t="str">
        <f t="shared" ca="1" si="0"/>
        <v>BR</v>
      </c>
      <c r="T22" s="224" t="str">
        <f ca="1">IF(B22="","",IF(ISERROR(MATCH($J22,SorP!$B$1:$B$6230,0)),"",INDIRECT("'SorP'!$A$"&amp;MATCH($J22,SorP!$B$1:$B$6230,0))))</f>
        <v>BR-RO</v>
      </c>
      <c r="U22" s="239"/>
      <c r="V22" s="269">
        <f ca="1">IF(C22="",NA(),MATCH($B22&amp;$C22,'Smelter Look-up'!$J:$J,0))</f>
        <v>495</v>
      </c>
      <c r="W22" s="270"/>
      <c r="X22" s="270">
        <f t="shared" ca="1" si="1"/>
        <v>0</v>
      </c>
      <c r="Y22" s="270"/>
      <c r="Z22" s="270"/>
      <c r="AB22" s="272" t="str">
        <f t="shared" ca="1" si="2"/>
        <v>TinWhite Solder Metalurgia e Mineracao Ltda.</v>
      </c>
    </row>
    <row r="23" spans="1:28" s="271" customFormat="1" ht="27.95" customHeight="1">
      <c r="A23" s="215" t="s">
        <v>877</v>
      </c>
      <c r="B23" s="216" t="str">
        <f ca="1">IF(LEN(A23)=0,"",INDEX('Smelter Look-up'!$A:$A,MATCH($A23,'Smelter Look-up'!$E:$E,0)))</f>
        <v>Tin</v>
      </c>
      <c r="C23" s="220" t="str">
        <f ca="1">IF(LEN(A23)=0,"",INDEX('Smelter Look-up'!$C:$C,MATCH($A23,'Smelter Look-up'!$E:$E,0)))</f>
        <v>Operaciones Metalurgicas S.A.</v>
      </c>
      <c r="D23" s="216"/>
      <c r="E23" s="216" t="str">
        <f ca="1">IF(ISERROR($V23),"",OFFSET('Smelter Look-up'!$D$4,$V23-4,0)&amp;"")</f>
        <v>BOLIVIA (PLURINATIONAL STATE OF)</v>
      </c>
      <c r="F23" s="216" t="str">
        <f ca="1">IF(ISERROR($V23),"",OFFSET('Smelter Look-up'!$E$4,$V23-4,0))</f>
        <v>CID001337</v>
      </c>
      <c r="G23" s="216" t="str">
        <f ca="1">IF(C23=$X$4,"Enter smelter details", IF(ISERROR($V23),"",OFFSET('Smelter Look-up'!$F$4,$V23-4,0)))</f>
        <v>RMI</v>
      </c>
      <c r="H23" s="217">
        <f ca="1">IF(ISERROR($V23),"",OFFSET('Smelter Look-up'!$G$4,$V23-4,0))</f>
        <v>0</v>
      </c>
      <c r="I23" s="218" t="str">
        <f ca="1">IF(ISERROR($V23),"",OFFSET('Smelter Look-up'!$H$4,$V23-4,0))</f>
        <v>Oruro</v>
      </c>
      <c r="J23" s="218" t="str">
        <f ca="1">IF(ISERROR($V23),"",OFFSET('Smelter Look-up'!$I$4,$V23-4,0))</f>
        <v>Oruro</v>
      </c>
      <c r="K23" s="267"/>
      <c r="L23" s="267"/>
      <c r="M23" s="267"/>
      <c r="N23" s="267"/>
      <c r="O23" s="267"/>
      <c r="P23" s="219"/>
      <c r="Q23" s="268" t="s">
        <v>15507</v>
      </c>
      <c r="R23" s="216" t="str">
        <f ca="1">IF(ISERROR($V23),"",OFFSET('Smelter Look-up'!$C$4,$V23-4,0)&amp;"")</f>
        <v>Operaciones Metalurgicas S.A.</v>
      </c>
      <c r="S23" s="224" t="str">
        <f t="shared" ca="1" si="0"/>
        <v>BO</v>
      </c>
      <c r="T23" s="224" t="str">
        <f ca="1">IF(B23="","",IF(ISERROR(MATCH($J23,SorP!$B$1:$B$6230,0)),"",INDIRECT("'SorP'!$A$"&amp;MATCH($J23,SorP!$B$1:$B$6230,0))))</f>
        <v>BO-O</v>
      </c>
      <c r="U23" s="239"/>
      <c r="V23" s="269">
        <f ca="1">IF(C23="",NA(),MATCH($B23&amp;$C23,'Smelter Look-up'!$J:$J,0))</f>
        <v>438</v>
      </c>
      <c r="W23" s="270"/>
      <c r="X23" s="270">
        <f t="shared" ca="1" si="1"/>
        <v>0</v>
      </c>
      <c r="Y23" s="270"/>
      <c r="Z23" s="270"/>
      <c r="AB23" s="272" t="str">
        <f t="shared" ca="1" si="2"/>
        <v>TinOperaciones Metalurgicas S.A.</v>
      </c>
    </row>
    <row r="24" spans="1:28" s="271" customFormat="1" ht="27.95" customHeight="1">
      <c r="A24" s="215" t="s">
        <v>885</v>
      </c>
      <c r="B24" s="216" t="str">
        <f ca="1">IF(LEN(A24)=0,"",INDEX('Smelter Look-up'!$A:$A,MATCH($A24,'Smelter Look-up'!$E:$E,0)))</f>
        <v>Tin</v>
      </c>
      <c r="C24" s="220" t="str">
        <f ca="1">IF(LEN(A24)=0,"",INDEX('Smelter Look-up'!$C:$C,MATCH($A24,'Smelter Look-up'!$E:$E,0)))</f>
        <v>PT Mitra Stania Prima</v>
      </c>
      <c r="D24" s="216"/>
      <c r="E24" s="216" t="str">
        <f ca="1">IF(ISERROR($V24),"",OFFSET('Smelter Look-up'!$D$4,$V24-4,0)&amp;"")</f>
        <v>INDONESIA</v>
      </c>
      <c r="F24" s="216" t="str">
        <f ca="1">IF(ISERROR($V24),"",OFFSET('Smelter Look-up'!$E$4,$V24-4,0))</f>
        <v>CID001453</v>
      </c>
      <c r="G24" s="216" t="str">
        <f ca="1">IF(C24=$X$4,"Enter smelter details", IF(ISERROR($V24),"",OFFSET('Smelter Look-up'!$F$4,$V24-4,0)))</f>
        <v>RMI</v>
      </c>
      <c r="H24" s="217">
        <f ca="1">IF(ISERROR($V24),"",OFFSET('Smelter Look-up'!$G$4,$V24-4,0))</f>
        <v>0</v>
      </c>
      <c r="I24" s="218" t="str">
        <f ca="1">IF(ISERROR($V24),"",OFFSET('Smelter Look-up'!$H$4,$V24-4,0))</f>
        <v>Sungailiat</v>
      </c>
      <c r="J24" s="218" t="str">
        <f ca="1">IF(ISERROR($V24),"",OFFSET('Smelter Look-up'!$I$4,$V24-4,0))</f>
        <v>Kepulauan Bangka Belitung</v>
      </c>
      <c r="K24" s="267"/>
      <c r="L24" s="267"/>
      <c r="M24" s="267"/>
      <c r="N24" s="267"/>
      <c r="O24" s="267"/>
      <c r="P24" s="219"/>
      <c r="Q24" s="268" t="s">
        <v>15507</v>
      </c>
      <c r="R24" s="216" t="str">
        <f ca="1">IF(ISERROR($V24),"",OFFSET('Smelter Look-up'!$C$4,$V24-4,0)&amp;"")</f>
        <v>PT Mitra Stania Prima</v>
      </c>
      <c r="S24" s="224" t="str">
        <f t="shared" ca="1" si="0"/>
        <v>ID</v>
      </c>
      <c r="T24" s="224" t="str">
        <f ca="1">IF(B24="","",IF(ISERROR(MATCH($J24,SorP!$B$1:$B$6230,0)),"",INDIRECT("'SorP'!$A$"&amp;MATCH($J24,SorP!$B$1:$B$6230,0))))</f>
        <v>ID-BB</v>
      </c>
      <c r="U24" s="239"/>
      <c r="V24" s="269">
        <f ca="1">IF(C24="",NA(),MATCH($B24&amp;$C24,'Smelter Look-up'!$J:$J,0))</f>
        <v>460</v>
      </c>
      <c r="W24" s="270"/>
      <c r="X24" s="270">
        <f t="shared" ca="1" si="1"/>
        <v>0</v>
      </c>
      <c r="Y24" s="270"/>
      <c r="Z24" s="270"/>
      <c r="AB24" s="272" t="str">
        <f t="shared" ca="1" si="2"/>
        <v>TinPT Mitra Stania Prima</v>
      </c>
    </row>
    <row r="25" spans="1:28" s="271" customFormat="1" ht="27.95" customHeight="1">
      <c r="A25" s="215" t="s">
        <v>862</v>
      </c>
      <c r="B25" s="216" t="str">
        <f ca="1">IF(LEN(A25)=0,"",INDEX('Smelter Look-up'!$A:$A,MATCH($A25,'Smelter Look-up'!$E:$E,0)))</f>
        <v>Tin</v>
      </c>
      <c r="C25" s="220" t="str">
        <f ca="1">IF(LEN(A25)=0,"",INDEX('Smelter Look-up'!$C:$C,MATCH($A25,'Smelter Look-up'!$E:$E,0)))</f>
        <v>CV United Smelting</v>
      </c>
      <c r="D25" s="216"/>
      <c r="E25" s="216" t="str">
        <f ca="1">IF(ISERROR($V25),"",OFFSET('Smelter Look-up'!$D$4,$V25-4,0)&amp;"")</f>
        <v>INDONESIA</v>
      </c>
      <c r="F25" s="216" t="str">
        <f ca="1">IF(ISERROR($V25),"",OFFSET('Smelter Look-up'!$E$4,$V25-4,0))</f>
        <v>CID000315</v>
      </c>
      <c r="G25" s="216" t="str">
        <f ca="1">IF(C25=$X$4,"Enter smelter details", IF(ISERROR($V25),"",OFFSET('Smelter Look-up'!$F$4,$V25-4,0)))</f>
        <v>RMI</v>
      </c>
      <c r="H25" s="217">
        <f ca="1">IF(ISERROR($V25),"",OFFSET('Smelter Look-up'!$G$4,$V25-4,0))</f>
        <v>0</v>
      </c>
      <c r="I25" s="218" t="str">
        <f ca="1">IF(ISERROR($V25),"",OFFSET('Smelter Look-up'!$H$4,$V25-4,0))</f>
        <v>Pangkal Pinang</v>
      </c>
      <c r="J25" s="218" t="str">
        <f ca="1">IF(ISERROR($V25),"",OFFSET('Smelter Look-up'!$I$4,$V25-4,0))</f>
        <v>Kepulauan Bangka Belitung</v>
      </c>
      <c r="K25" s="267"/>
      <c r="L25" s="267"/>
      <c r="M25" s="267"/>
      <c r="N25" s="267"/>
      <c r="O25" s="267"/>
      <c r="P25" s="219"/>
      <c r="Q25" s="268" t="s">
        <v>15507</v>
      </c>
      <c r="R25" s="216" t="str">
        <f ca="1">IF(ISERROR($V25),"",OFFSET('Smelter Look-up'!$C$4,$V25-4,0)&amp;"")</f>
        <v>CV United Smelting</v>
      </c>
      <c r="S25" s="224" t="str">
        <f t="shared" ca="1" si="0"/>
        <v>ID</v>
      </c>
      <c r="T25" s="224" t="str">
        <f ca="1">IF(B25="","",IF(ISERROR(MATCH($J25,SorP!$B$1:$B$6230,0)),"",INDIRECT("'SorP'!$A$"&amp;MATCH($J25,SorP!$B$1:$B$6230,0))))</f>
        <v>ID-BB</v>
      </c>
      <c r="U25" s="239"/>
      <c r="V25" s="269">
        <f ca="1">IF(C25="",NA(),MATCH($B25&amp;$C25,'Smelter Look-up'!$J:$J,0))</f>
        <v>374</v>
      </c>
      <c r="W25" s="270"/>
      <c r="X25" s="270">
        <f t="shared" ca="1" si="1"/>
        <v>0</v>
      </c>
      <c r="Y25" s="270"/>
      <c r="Z25" s="270"/>
      <c r="AB25" s="272" t="str">
        <f t="shared" ca="1" si="2"/>
        <v>TinCV United Smelting</v>
      </c>
    </row>
    <row r="26" spans="1:28" s="271" customFormat="1" ht="27.95" customHeight="1">
      <c r="A26" s="215" t="s">
        <v>1547</v>
      </c>
      <c r="B26" s="216" t="str">
        <f ca="1">IF(LEN(A26)=0,"",INDEX('Smelter Look-up'!$A:$A,MATCH($A26,'Smelter Look-up'!$E:$E,0)))</f>
        <v>Tin</v>
      </c>
      <c r="C26" s="220" t="str">
        <f ca="1">IF(LEN(A26)=0,"",INDEX('Smelter Look-up'!$C:$C,MATCH($A26,'Smelter Look-up'!$E:$E,0)))</f>
        <v>PT Inti Stania Prima</v>
      </c>
      <c r="D26" s="216"/>
      <c r="E26" s="216" t="str">
        <f ca="1">IF(ISERROR($V26),"",OFFSET('Smelter Look-up'!$D$4,$V26-4,0)&amp;"")</f>
        <v>INDONESIA</v>
      </c>
      <c r="F26" s="216" t="str">
        <f ca="1">IF(ISERROR($V26),"",OFFSET('Smelter Look-up'!$E$4,$V26-4,0))</f>
        <v>CID002530</v>
      </c>
      <c r="G26" s="216" t="str">
        <f ca="1">IF(C26=$X$4,"Enter smelter details", IF(ISERROR($V26),"",OFFSET('Smelter Look-up'!$F$4,$V26-4,0)))</f>
        <v>RMI</v>
      </c>
      <c r="H26" s="217">
        <f ca="1">IF(ISERROR($V26),"",OFFSET('Smelter Look-up'!$G$4,$V26-4,0))</f>
        <v>0</v>
      </c>
      <c r="I26" s="218" t="str">
        <f ca="1">IF(ISERROR($V26),"",OFFSET('Smelter Look-up'!$H$4,$V26-4,0))</f>
        <v>Sungailiat</v>
      </c>
      <c r="J26" s="218" t="str">
        <f ca="1">IF(ISERROR($V26),"",OFFSET('Smelter Look-up'!$I$4,$V26-4,0))</f>
        <v>Kepulauan Bangka Belitung</v>
      </c>
      <c r="K26" s="267"/>
      <c r="L26" s="267"/>
      <c r="M26" s="267"/>
      <c r="N26" s="267"/>
      <c r="O26" s="267"/>
      <c r="P26" s="219"/>
      <c r="Q26" s="268" t="s">
        <v>15507</v>
      </c>
      <c r="R26" s="216" t="str">
        <f ca="1">IF(ISERROR($V26),"",OFFSET('Smelter Look-up'!$C$4,$V26-4,0)&amp;"")</f>
        <v>PT Inti Stania Prima</v>
      </c>
      <c r="S26" s="224" t="str">
        <f t="shared" ca="1" si="0"/>
        <v>ID</v>
      </c>
      <c r="T26" s="224" t="str">
        <f ca="1">IF(B26="","",IF(ISERROR(MATCH($J26,SorP!$B$1:$B$6230,0)),"",INDIRECT("'SorP'!$A$"&amp;MATCH($J26,SorP!$B$1:$B$6230,0))))</f>
        <v>ID-BB</v>
      </c>
      <c r="U26" s="239"/>
      <c r="V26" s="269">
        <f ca="1">IF(C26="",NA(),MATCH($B26&amp;$C26,'Smelter Look-up'!$J:$J,0))</f>
        <v>456</v>
      </c>
      <c r="W26" s="270"/>
      <c r="X26" s="270">
        <f t="shared" ca="1" si="1"/>
        <v>0</v>
      </c>
      <c r="Y26" s="270"/>
      <c r="Z26" s="270"/>
      <c r="AB26" s="272" t="str">
        <f t="shared" ca="1" si="2"/>
        <v>TinPT Inti Stania Prima</v>
      </c>
    </row>
    <row r="27" spans="1:28" s="271" customFormat="1" ht="27.95" customHeight="1">
      <c r="A27" s="215" t="s">
        <v>883</v>
      </c>
      <c r="B27" s="216" t="str">
        <f ca="1">IF(LEN(A27)=0,"",INDEX('Smelter Look-up'!$A:$A,MATCH($A27,'Smelter Look-up'!$E:$E,0)))</f>
        <v>Tin</v>
      </c>
      <c r="C27" s="220" t="str">
        <f ca="1">IF(LEN(A27)=0,"",INDEX('Smelter Look-up'!$C:$C,MATCH($A27,'Smelter Look-up'!$E:$E,0)))</f>
        <v>PT DS Jaya Abadi</v>
      </c>
      <c r="D27" s="216"/>
      <c r="E27" s="216" t="str">
        <f ca="1">IF(ISERROR($V27),"",OFFSET('Smelter Look-up'!$D$4,$V27-4,0)&amp;"")</f>
        <v>INDONESIA</v>
      </c>
      <c r="F27" s="216" t="str">
        <f ca="1">IF(ISERROR($V27),"",OFFSET('Smelter Look-up'!$E$4,$V27-4,0))</f>
        <v>CID001434</v>
      </c>
      <c r="G27" s="216" t="str">
        <f ca="1">IF(C27=$X$4,"Enter smelter details", IF(ISERROR($V27),"",OFFSET('Smelter Look-up'!$F$4,$V27-4,0)))</f>
        <v>RMI</v>
      </c>
      <c r="H27" s="217">
        <f ca="1">IF(ISERROR($V27),"",OFFSET('Smelter Look-up'!$G$4,$V27-4,0))</f>
        <v>0</v>
      </c>
      <c r="I27" s="218" t="str">
        <f ca="1">IF(ISERROR($V27),"",OFFSET('Smelter Look-up'!$H$4,$V27-4,0))</f>
        <v>Pangkal Pinang</v>
      </c>
      <c r="J27" s="218" t="str">
        <f ca="1">IF(ISERROR($V27),"",OFFSET('Smelter Look-up'!$I$4,$V27-4,0))</f>
        <v>Kepulauan Bangka Belitung</v>
      </c>
      <c r="K27" s="267"/>
      <c r="L27" s="267"/>
      <c r="M27" s="267"/>
      <c r="N27" s="267"/>
      <c r="O27" s="267"/>
      <c r="P27" s="219"/>
      <c r="Q27" s="268" t="s">
        <v>15507</v>
      </c>
      <c r="R27" s="216" t="str">
        <f ca="1">IF(ISERROR($V27),"",OFFSET('Smelter Look-up'!$C$4,$V27-4,0)&amp;"")</f>
        <v>PT DS Jaya Abadi</v>
      </c>
      <c r="S27" s="224" t="str">
        <f t="shared" ca="1" si="0"/>
        <v>ID</v>
      </c>
      <c r="T27" s="224" t="str">
        <f ca="1">IF(B27="","",IF(ISERROR(MATCH($J27,SorP!$B$1:$B$6230,0)),"",INDIRECT("'SorP'!$A$"&amp;MATCH($J27,SorP!$B$1:$B$6230,0))))</f>
        <v>ID-BB</v>
      </c>
      <c r="U27" s="239"/>
      <c r="V27" s="269">
        <f ca="1">IF(C27="",NA(),MATCH($B27&amp;$C27,'Smelter Look-up'!$J:$J,0))</f>
        <v>453</v>
      </c>
      <c r="W27" s="270"/>
      <c r="X27" s="270">
        <f t="shared" ca="1" si="1"/>
        <v>0</v>
      </c>
      <c r="Y27" s="270"/>
      <c r="Z27" s="270"/>
      <c r="AB27" s="272" t="str">
        <f t="shared" ca="1" si="2"/>
        <v>TinPT DS Jaya Abadi</v>
      </c>
    </row>
    <row r="28" spans="1:28" s="271" customFormat="1" ht="27.95" customHeight="1">
      <c r="A28" s="215" t="s">
        <v>891</v>
      </c>
      <c r="B28" s="216" t="str">
        <f ca="1">IF(LEN(A28)=0,"",INDEX('Smelter Look-up'!$A:$A,MATCH($A28,'Smelter Look-up'!$E:$E,0)))</f>
        <v>Tin</v>
      </c>
      <c r="C28" s="220" t="str">
        <f ca="1">IF(LEN(A28)=0,"",INDEX('Smelter Look-up'!$C:$C,MATCH($A28,'Smelter Look-up'!$E:$E,0)))</f>
        <v>PT Timah Tbk Mentok</v>
      </c>
      <c r="D28" s="216"/>
      <c r="E28" s="216" t="str">
        <f ca="1">IF(ISERROR($V28),"",OFFSET('Smelter Look-up'!$D$4,$V28-4,0)&amp;"")</f>
        <v>INDONESIA</v>
      </c>
      <c r="F28" s="216" t="str">
        <f ca="1">IF(ISERROR($V28),"",OFFSET('Smelter Look-up'!$E$4,$V28-4,0))</f>
        <v>CID001482</v>
      </c>
      <c r="G28" s="216" t="str">
        <f ca="1">IF(C28=$X$4,"Enter smelter details", IF(ISERROR($V28),"",OFFSET('Smelter Look-up'!$F$4,$V28-4,0)))</f>
        <v>RMI</v>
      </c>
      <c r="H28" s="217" t="s">
        <v>15531</v>
      </c>
      <c r="I28" s="218" t="str">
        <f ca="1">IF(ISERROR($V28),"",OFFSET('Smelter Look-up'!$H$4,$V28-4,0))</f>
        <v>Mentok</v>
      </c>
      <c r="J28" s="218" t="str">
        <f ca="1">IF(ISERROR($V28),"",OFFSET('Smelter Look-up'!$I$4,$V28-4,0))</f>
        <v>Kepulauan Bangka Belitung</v>
      </c>
      <c r="K28" s="267" t="s">
        <v>15532</v>
      </c>
      <c r="L28" s="267" t="s">
        <v>15533</v>
      </c>
      <c r="M28" s="267"/>
      <c r="N28" s="267" t="s">
        <v>15534</v>
      </c>
      <c r="O28" s="267" t="s">
        <v>15530</v>
      </c>
      <c r="P28" s="219" t="s">
        <v>559</v>
      </c>
      <c r="Q28" s="268" t="s">
        <v>15524</v>
      </c>
      <c r="R28" s="216" t="str">
        <f ca="1">IF(ISERROR($V28),"",OFFSET('Smelter Look-up'!$C$4,$V28-4,0)&amp;"")</f>
        <v>PT Timah Tbk Mentok</v>
      </c>
      <c r="S28" s="224" t="str">
        <f t="shared" ca="1" si="0"/>
        <v>ID</v>
      </c>
      <c r="T28" s="224" t="str">
        <f ca="1">IF(B28="","",IF(ISERROR(MATCH($J28,SorP!$B$1:$B$6230,0)),"",INDIRECT("'SorP'!$A$"&amp;MATCH($J28,SorP!$B$1:$B$6230,0))))</f>
        <v>ID-BB</v>
      </c>
      <c r="U28" s="239"/>
      <c r="V28" s="269">
        <f ca="1">IF(C28="",NA(),MATCH($B28&amp;$C28,'Smelter Look-up'!$J:$J,0))</f>
        <v>473</v>
      </c>
      <c r="W28" s="270"/>
      <c r="X28" s="270">
        <f t="shared" ca="1" si="1"/>
        <v>0</v>
      </c>
      <c r="Y28" s="270"/>
      <c r="Z28" s="270"/>
      <c r="AB28" s="272" t="str">
        <f t="shared" ca="1" si="2"/>
        <v>TinPT Timah Tbk Mentok</v>
      </c>
    </row>
    <row r="29" spans="1:28" s="271" customFormat="1" ht="27.95" customHeight="1">
      <c r="A29" s="215" t="s">
        <v>1541</v>
      </c>
      <c r="B29" s="216" t="str">
        <f ca="1">IF(LEN(A29)=0,"",INDEX('Smelter Look-up'!$A:$A,MATCH($A29,'Smelter Look-up'!$E:$E,0)))</f>
        <v>Tin</v>
      </c>
      <c r="C29" s="220" t="str">
        <f ca="1">IF(LEN(A29)=0,"",INDEX('Smelter Look-up'!$C:$C,MATCH($A29,'Smelter Look-up'!$E:$E,0)))</f>
        <v>CV Venus Inti Perkasa</v>
      </c>
      <c r="D29" s="216"/>
      <c r="E29" s="216" t="str">
        <f ca="1">IF(ISERROR($V29),"",OFFSET('Smelter Look-up'!$D$4,$V29-4,0)&amp;"")</f>
        <v>INDONESIA</v>
      </c>
      <c r="F29" s="216" t="str">
        <f ca="1">IF(ISERROR($V29),"",OFFSET('Smelter Look-up'!$E$4,$V29-4,0))</f>
        <v>CID002455</v>
      </c>
      <c r="G29" s="216" t="str">
        <f ca="1">IF(C29=$X$4,"Enter smelter details", IF(ISERROR($V29),"",OFFSET('Smelter Look-up'!$F$4,$V29-4,0)))</f>
        <v>RMI</v>
      </c>
      <c r="H29" s="217">
        <f ca="1">IF(ISERROR($V29),"",OFFSET('Smelter Look-up'!$G$4,$V29-4,0))</f>
        <v>0</v>
      </c>
      <c r="I29" s="218" t="str">
        <f ca="1">IF(ISERROR($V29),"",OFFSET('Smelter Look-up'!$H$4,$V29-4,0))</f>
        <v>Pangkal Pinang</v>
      </c>
      <c r="J29" s="218" t="str">
        <f ca="1">IF(ISERROR($V29),"",OFFSET('Smelter Look-up'!$I$4,$V29-4,0))</f>
        <v>Kepulauan Bangka Belitung</v>
      </c>
      <c r="K29" s="267"/>
      <c r="L29" s="267"/>
      <c r="M29" s="267"/>
      <c r="N29" s="267"/>
      <c r="O29" s="267"/>
      <c r="P29" s="219"/>
      <c r="Q29" s="268" t="s">
        <v>15507</v>
      </c>
      <c r="R29" s="216" t="str">
        <f ca="1">IF(ISERROR($V29),"",OFFSET('Smelter Look-up'!$C$4,$V29-4,0)&amp;"")</f>
        <v>CV Venus Inti Perkasa</v>
      </c>
      <c r="S29" s="224" t="str">
        <f t="shared" ca="1" si="0"/>
        <v>ID</v>
      </c>
      <c r="T29" s="224" t="str">
        <f ca="1">IF(B29="","",IF(ISERROR(MATCH($J29,SorP!$B$1:$B$6230,0)),"",INDIRECT("'SorP'!$A$"&amp;MATCH($J29,SorP!$B$1:$B$6230,0))))</f>
        <v>ID-BB</v>
      </c>
      <c r="U29" s="239"/>
      <c r="V29" s="269">
        <f ca="1">IF(C29="",NA(),MATCH($B29&amp;$C29,'Smelter Look-up'!$J:$J,0))</f>
        <v>375</v>
      </c>
      <c r="W29" s="270"/>
      <c r="X29" s="270">
        <f t="shared" ca="1" si="1"/>
        <v>0</v>
      </c>
      <c r="Y29" s="270"/>
      <c r="Z29" s="270"/>
      <c r="AB29" s="272" t="str">
        <f t="shared" ca="1" si="2"/>
        <v>TinCV Venus Inti Perkasa</v>
      </c>
    </row>
    <row r="30" spans="1:28" s="271" customFormat="1" ht="27.95" customHeight="1">
      <c r="A30" s="215" t="s">
        <v>3111</v>
      </c>
      <c r="B30" s="216" t="str">
        <f ca="1">IF(LEN(A30)=0,"",INDEX('Smelter Look-up'!$A:$A,MATCH($A30,'Smelter Look-up'!$E:$E,0)))</f>
        <v>Tin</v>
      </c>
      <c r="C30" s="220" t="str">
        <f ca="1">IF(LEN(A30)=0,"",INDEX('Smelter Look-up'!$C:$C,MATCH($A30,'Smelter Look-up'!$E:$E,0)))</f>
        <v>PT Menara Cipta Mulia</v>
      </c>
      <c r="D30" s="216"/>
      <c r="E30" s="216" t="str">
        <f ca="1">IF(ISERROR($V30),"",OFFSET('Smelter Look-up'!$D$4,$V30-4,0)&amp;"")</f>
        <v>INDONESIA</v>
      </c>
      <c r="F30" s="216" t="str">
        <f ca="1">IF(ISERROR($V30),"",OFFSET('Smelter Look-up'!$E$4,$V30-4,0))</f>
        <v>CID002835</v>
      </c>
      <c r="G30" s="216" t="str">
        <f ca="1">IF(C30=$X$4,"Enter smelter details", IF(ISERROR($V30),"",OFFSET('Smelter Look-up'!$F$4,$V30-4,0)))</f>
        <v>RMI</v>
      </c>
      <c r="H30" s="217">
        <f ca="1">IF(ISERROR($V30),"",OFFSET('Smelter Look-up'!$G$4,$V30-4,0))</f>
        <v>0</v>
      </c>
      <c r="I30" s="218" t="str">
        <f ca="1">IF(ISERROR($V30),"",OFFSET('Smelter Look-up'!$H$4,$V30-4,0))</f>
        <v>Mentawak</v>
      </c>
      <c r="J30" s="218" t="str">
        <f ca="1">IF(ISERROR($V30),"",OFFSET('Smelter Look-up'!$I$4,$V30-4,0))</f>
        <v>Kepulauan Bangka Belitung</v>
      </c>
      <c r="K30" s="267"/>
      <c r="L30" s="267"/>
      <c r="M30" s="267"/>
      <c r="N30" s="267"/>
      <c r="O30" s="267"/>
      <c r="P30" s="219"/>
      <c r="Q30" s="268" t="s">
        <v>15507</v>
      </c>
      <c r="R30" s="216" t="str">
        <f ca="1">IF(ISERROR($V30),"",OFFSET('Smelter Look-up'!$C$4,$V30-4,0)&amp;"")</f>
        <v>PT Menara Cipta Mulia</v>
      </c>
      <c r="S30" s="224" t="str">
        <f t="shared" ca="1" si="0"/>
        <v>ID</v>
      </c>
      <c r="T30" s="224" t="str">
        <f ca="1">IF(B30="","",IF(ISERROR(MATCH($J30,SorP!$B$1:$B$6230,0)),"",INDIRECT("'SorP'!$A$"&amp;MATCH($J30,SorP!$B$1:$B$6230,0))))</f>
        <v>ID-BB</v>
      </c>
      <c r="U30" s="239"/>
      <c r="V30" s="269">
        <f ca="1">IF(C30="",NA(),MATCH($B30&amp;$C30,'Smelter Look-up'!$J:$J,0))</f>
        <v>459</v>
      </c>
      <c r="W30" s="270"/>
      <c r="X30" s="270">
        <f t="shared" ca="1" si="1"/>
        <v>0</v>
      </c>
      <c r="Y30" s="270"/>
      <c r="Z30" s="270"/>
      <c r="AB30" s="272" t="str">
        <f t="shared" ca="1" si="2"/>
        <v>TinPT Menara Cipta Mulia</v>
      </c>
    </row>
    <row r="31" spans="1:28" s="271" customFormat="1" ht="27.95" customHeight="1">
      <c r="A31" s="215" t="s">
        <v>1518</v>
      </c>
      <c r="B31" s="216" t="str">
        <f ca="1">IF(LEN(A31)=0,"",INDEX('Smelter Look-up'!$A:$A,MATCH($A31,'Smelter Look-up'!$E:$E,0)))</f>
        <v>Tin</v>
      </c>
      <c r="C31" s="220" t="str">
        <f ca="1">IF(LEN(A31)=0,"",INDEX('Smelter Look-up'!$C:$C,MATCH($A31,'Smelter Look-up'!$E:$E,0)))</f>
        <v>PT Aries Kencana Sejahtera</v>
      </c>
      <c r="D31" s="216"/>
      <c r="E31" s="216" t="str">
        <f ca="1">IF(ISERROR($V31),"",OFFSET('Smelter Look-up'!$D$4,$V31-4,0)&amp;"")</f>
        <v>INDONESIA</v>
      </c>
      <c r="F31" s="216" t="str">
        <f ca="1">IF(ISERROR($V31),"",OFFSET('Smelter Look-up'!$E$4,$V31-4,0))</f>
        <v>CID000309</v>
      </c>
      <c r="G31" s="216" t="str">
        <f ca="1">IF(C31=$X$4,"Enter smelter details", IF(ISERROR($V31),"",OFFSET('Smelter Look-up'!$F$4,$V31-4,0)))</f>
        <v>RMI</v>
      </c>
      <c r="H31" s="217">
        <f ca="1">IF(ISERROR($V31),"",OFFSET('Smelter Look-up'!$G$4,$V31-4,0))</f>
        <v>0</v>
      </c>
      <c r="I31" s="218" t="str">
        <f ca="1">IF(ISERROR($V31),"",OFFSET('Smelter Look-up'!$H$4,$V31-4,0))</f>
        <v>Pemali</v>
      </c>
      <c r="J31" s="218" t="str">
        <f ca="1">IF(ISERROR($V31),"",OFFSET('Smelter Look-up'!$I$4,$V31-4,0))</f>
        <v>Kepulauan Bangka Belitung</v>
      </c>
      <c r="K31" s="267"/>
      <c r="L31" s="267"/>
      <c r="M31" s="267"/>
      <c r="N31" s="267"/>
      <c r="O31" s="267"/>
      <c r="P31" s="219"/>
      <c r="Q31" s="268" t="s">
        <v>15507</v>
      </c>
      <c r="R31" s="216" t="str">
        <f ca="1">IF(ISERROR($V31),"",OFFSET('Smelter Look-up'!$C$4,$V31-4,0)&amp;"")</f>
        <v>PT Aries Kencana Sejahtera</v>
      </c>
      <c r="S31" s="224" t="str">
        <f t="shared" ca="1" si="0"/>
        <v>ID</v>
      </c>
      <c r="T31" s="224" t="str">
        <f ca="1">IF(B31="","",IF(ISERROR(MATCH($J31,SorP!$B$1:$B$6230,0)),"",INDIRECT("'SorP'!$A$"&amp;MATCH($J31,SorP!$B$1:$B$6230,0))))</f>
        <v>ID-BB</v>
      </c>
      <c r="U31" s="239"/>
      <c r="V31" s="269">
        <f ca="1">IF(C31="",NA(),MATCH($B31&amp;$C31,'Smelter Look-up'!$J:$J,0))</f>
        <v>442</v>
      </c>
      <c r="W31" s="270"/>
      <c r="X31" s="270">
        <f t="shared" ca="1" si="1"/>
        <v>0</v>
      </c>
      <c r="Y31" s="270"/>
      <c r="Z31" s="270"/>
      <c r="AB31" s="272" t="str">
        <f t="shared" ca="1" si="2"/>
        <v>TinPT Aries Kencana Sejahtera</v>
      </c>
    </row>
    <row r="32" spans="1:28" s="271" customFormat="1" ht="27.95" customHeight="1">
      <c r="A32" s="215" t="s">
        <v>2685</v>
      </c>
      <c r="B32" s="216" t="str">
        <f ca="1">IF(LEN(A32)=0,"",INDEX('Smelter Look-up'!$A:$A,MATCH($A32,'Smelter Look-up'!$E:$E,0)))</f>
        <v>Tin</v>
      </c>
      <c r="C32" s="220" t="str">
        <f ca="1">IF(LEN(A32)=0,"",INDEX('Smelter Look-up'!$C:$C,MATCH($A32,'Smelter Look-up'!$E:$E,0)))</f>
        <v>PT Tommy Utama</v>
      </c>
      <c r="D32" s="216"/>
      <c r="E32" s="216" t="str">
        <f ca="1">IF(ISERROR($V32),"",OFFSET('Smelter Look-up'!$D$4,$V32-4,0)&amp;"")</f>
        <v>INDONESIA</v>
      </c>
      <c r="F32" s="216" t="str">
        <f ca="1">IF(ISERROR($V32),"",OFFSET('Smelter Look-up'!$E$4,$V32-4,0))</f>
        <v>CID001493</v>
      </c>
      <c r="G32" s="216" t="str">
        <f ca="1">IF(C32=$X$4,"Enter smelter details", IF(ISERROR($V32),"",OFFSET('Smelter Look-up'!$F$4,$V32-4,0)))</f>
        <v>RMI</v>
      </c>
      <c r="H32" s="217">
        <f ca="1">IF(ISERROR($V32),"",OFFSET('Smelter Look-up'!$G$4,$V32-4,0))</f>
        <v>0</v>
      </c>
      <c r="I32" s="218" t="str">
        <f ca="1">IF(ISERROR($V32),"",OFFSET('Smelter Look-up'!$H$4,$V32-4,0))</f>
        <v>Sumping Desa Batu Peyu</v>
      </c>
      <c r="J32" s="218" t="str">
        <f ca="1">IF(ISERROR($V32),"",OFFSET('Smelter Look-up'!$I$4,$V32-4,0))</f>
        <v>Kepulauan Bangka Belitung</v>
      </c>
      <c r="K32" s="267"/>
      <c r="L32" s="267"/>
      <c r="M32" s="267"/>
      <c r="N32" s="267"/>
      <c r="O32" s="267"/>
      <c r="P32" s="219"/>
      <c r="Q32" s="268" t="s">
        <v>15507</v>
      </c>
      <c r="R32" s="216" t="str">
        <f ca="1">IF(ISERROR($V32),"",OFFSET('Smelter Look-up'!$C$4,$V32-4,0)&amp;"")</f>
        <v>PT Tommy Utama</v>
      </c>
      <c r="S32" s="224" t="str">
        <f t="shared" ca="1" si="0"/>
        <v>ID</v>
      </c>
      <c r="T32" s="224" t="str">
        <f ca="1">IF(B32="","",IF(ISERROR(MATCH($J32,SorP!$B$1:$B$6230,0)),"",INDIRECT("'SorP'!$A$"&amp;MATCH($J32,SorP!$B$1:$B$6230,0))))</f>
        <v>ID-BB</v>
      </c>
      <c r="U32" s="239"/>
      <c r="V32" s="269">
        <f ca="1">IF(C32="",NA(),MATCH($B32&amp;$C32,'Smelter Look-up'!$J:$J,0))</f>
        <v>476</v>
      </c>
      <c r="W32" s="270"/>
      <c r="X32" s="270">
        <f t="shared" ca="1" si="1"/>
        <v>0</v>
      </c>
      <c r="Y32" s="270"/>
      <c r="Z32" s="270"/>
      <c r="AB32" s="272" t="str">
        <f t="shared" ca="1" si="2"/>
        <v>TinPT Tommy Utama</v>
      </c>
    </row>
    <row r="33" spans="1:28" s="271" customFormat="1" ht="27.95" customHeight="1">
      <c r="A33" s="215" t="s">
        <v>3224</v>
      </c>
      <c r="B33" s="216" t="str">
        <f ca="1">IF(LEN(A33)=0,"",INDEX('Smelter Look-up'!$A:$A,MATCH($A33,'Smelter Look-up'!$E:$E,0)))</f>
        <v>Tin</v>
      </c>
      <c r="C33" s="220" t="str">
        <f ca="1">IF(LEN(A33)=0,"",INDEX('Smelter Look-up'!$C:$C,MATCH($A33,'Smelter Look-up'!$E:$E,0)))</f>
        <v>Guangdong Hanhe Non-Ferrous Metal Co., Ltd.</v>
      </c>
      <c r="D33" s="216"/>
      <c r="E33" s="216" t="str">
        <f ca="1">IF(ISERROR($V33),"",OFFSET('Smelter Look-up'!$D$4,$V33-4,0)&amp;"")</f>
        <v>CHINA</v>
      </c>
      <c r="F33" s="216" t="str">
        <f ca="1">IF(ISERROR($V33),"",OFFSET('Smelter Look-up'!$E$4,$V33-4,0))</f>
        <v>CID003116</v>
      </c>
      <c r="G33" s="216" t="str">
        <f ca="1">IF(C33=$X$4,"Enter smelter details", IF(ISERROR($V33),"",OFFSET('Smelter Look-up'!$F$4,$V33-4,0)))</f>
        <v>RMI</v>
      </c>
      <c r="H33" s="217">
        <f ca="1">IF(ISERROR($V33),"",OFFSET('Smelter Look-up'!$G$4,$V33-4,0))</f>
        <v>0</v>
      </c>
      <c r="I33" s="218" t="str">
        <f ca="1">IF(ISERROR($V33),"",OFFSET('Smelter Look-up'!$H$4,$V33-4,0))</f>
        <v>Chaozhou</v>
      </c>
      <c r="J33" s="218" t="str">
        <f ca="1">IF(ISERROR($V33),"",OFFSET('Smelter Look-up'!$I$4,$V33-4,0))</f>
        <v>Guangdong Sheng</v>
      </c>
      <c r="K33" s="267"/>
      <c r="L33" s="267"/>
      <c r="M33" s="267"/>
      <c r="N33" s="267"/>
      <c r="O33" s="267"/>
      <c r="P33" s="219"/>
      <c r="Q33" s="268" t="s">
        <v>15507</v>
      </c>
      <c r="R33" s="216" t="str">
        <f ca="1">IF(ISERROR($V33),"",OFFSET('Smelter Look-up'!$C$4,$V33-4,0)&amp;"")</f>
        <v>Guangdong Hanhe Non-Ferrous Metal Co., Ltd.</v>
      </c>
      <c r="S33" s="224" t="str">
        <f t="shared" ca="1" si="0"/>
        <v>CN</v>
      </c>
      <c r="T33" s="224" t="str">
        <f ca="1">IF(B33="","",IF(ISERROR(MATCH($J33,SorP!$B$1:$B$6230,0)),"",INDIRECT("'SorP'!$A$"&amp;MATCH($J33,SorP!$B$1:$B$6230,0))))</f>
        <v>CN-GD</v>
      </c>
      <c r="U33" s="239"/>
      <c r="V33" s="269">
        <f ca="1">IF(C33="",NA(),MATCH($B33&amp;$C33,'Smelter Look-up'!$J:$J,0))</f>
        <v>399</v>
      </c>
      <c r="W33" s="270"/>
      <c r="X33" s="270">
        <f t="shared" ca="1" si="1"/>
        <v>0</v>
      </c>
      <c r="Y33" s="270"/>
      <c r="Z33" s="270"/>
      <c r="AB33" s="272" t="str">
        <f t="shared" ca="1" si="2"/>
        <v>TinGuangdong Hanhe Non-Ferrous Metal Co., Ltd.</v>
      </c>
    </row>
    <row r="34" spans="1:28" s="271" customFormat="1" ht="27.95" customHeight="1">
      <c r="A34" s="215" t="s">
        <v>2073</v>
      </c>
      <c r="B34" s="216" t="str">
        <f ca="1">IF(LEN(A34)=0,"",INDEX('Smelter Look-up'!$A:$A,MATCH($A34,'Smelter Look-up'!$E:$E,0)))</f>
        <v>Tin</v>
      </c>
      <c r="C34" s="220" t="str">
        <f ca="1">IF(LEN(A34)=0,"",INDEX('Smelter Look-up'!$C:$C,MATCH($A34,'Smelter Look-up'!$E:$E,0)))</f>
        <v>Metallo Belgium N.V.</v>
      </c>
      <c r="D34" s="216"/>
      <c r="E34" s="216" t="str">
        <f ca="1">IF(ISERROR($V34),"",OFFSET('Smelter Look-up'!$D$4,$V34-4,0)&amp;"")</f>
        <v>BELGIUM</v>
      </c>
      <c r="F34" s="216" t="str">
        <f ca="1">IF(ISERROR($V34),"",OFFSET('Smelter Look-up'!$E$4,$V34-4,0))</f>
        <v>CID002773</v>
      </c>
      <c r="G34" s="216" t="str">
        <f ca="1">IF(C34=$X$4,"Enter smelter details", IF(ISERROR($V34),"",OFFSET('Smelter Look-up'!$F$4,$V34-4,0)))</f>
        <v>RMI</v>
      </c>
      <c r="H34" s="217">
        <f ca="1">IF(ISERROR($V34),"",OFFSET('Smelter Look-up'!$G$4,$V34-4,0))</f>
        <v>0</v>
      </c>
      <c r="I34" s="218" t="str">
        <f ca="1">IF(ISERROR($V34),"",OFFSET('Smelter Look-up'!$H$4,$V34-4,0))</f>
        <v>Beerse</v>
      </c>
      <c r="J34" s="218" t="str">
        <f ca="1">IF(ISERROR($V34),"",OFFSET('Smelter Look-up'!$I$4,$V34-4,0))</f>
        <v>Antwerpen</v>
      </c>
      <c r="K34" s="267"/>
      <c r="L34" s="267"/>
      <c r="M34" s="267"/>
      <c r="N34" s="267"/>
      <c r="O34" s="267"/>
      <c r="P34" s="219"/>
      <c r="Q34" s="268" t="s">
        <v>15524</v>
      </c>
      <c r="R34" s="216" t="str">
        <f ca="1">IF(ISERROR($V34),"",OFFSET('Smelter Look-up'!$C$4,$V34-4,0)&amp;"")</f>
        <v>Metallo Belgium N.V.</v>
      </c>
      <c r="S34" s="224" t="str">
        <f t="shared" ca="1" si="0"/>
        <v>BE</v>
      </c>
      <c r="T34" s="224" t="str">
        <f ca="1">IF(B34="","",IF(ISERROR(MATCH($J34,SorP!$B$1:$B$6230,0)),"",INDIRECT("'SorP'!$A$"&amp;MATCH($J34,SorP!$B$1:$B$6230,0))))</f>
        <v>BE-VAN</v>
      </c>
      <c r="U34" s="239"/>
      <c r="V34" s="269">
        <f ca="1">IF(C34="",NA(),MATCH($B34&amp;$C34,'Smelter Look-up'!$J:$J,0))</f>
        <v>423</v>
      </c>
      <c r="W34" s="270"/>
      <c r="X34" s="270">
        <f t="shared" ca="1" si="1"/>
        <v>0</v>
      </c>
      <c r="Y34" s="270"/>
      <c r="Z34" s="270"/>
      <c r="AB34" s="272" t="str">
        <f t="shared" ca="1" si="2"/>
        <v>TinMetallo Belgium N.V.</v>
      </c>
    </row>
    <row r="35" spans="1:28" s="271" customFormat="1" ht="27.95" customHeight="1">
      <c r="A35" s="215" t="s">
        <v>892</v>
      </c>
      <c r="B35" s="216" t="str">
        <f ca="1">IF(LEN(A35)=0,"",INDEX('Smelter Look-up'!$A:$A,MATCH($A35,'Smelter Look-up'!$E:$E,0)))</f>
        <v>Tin</v>
      </c>
      <c r="C35" s="220" t="str">
        <f ca="1">IF(LEN(A35)=0,"",INDEX('Smelter Look-up'!$C:$C,MATCH($A35,'Smelter Look-up'!$E:$E,0)))</f>
        <v>PT Tinindo Inter Nusa</v>
      </c>
      <c r="D35" s="216"/>
      <c r="E35" s="216" t="str">
        <f ca="1">IF(ISERROR($V35),"",OFFSET('Smelter Look-up'!$D$4,$V35-4,0)&amp;"")</f>
        <v>INDONESIA</v>
      </c>
      <c r="F35" s="216" t="str">
        <f ca="1">IF(ISERROR($V35),"",OFFSET('Smelter Look-up'!$E$4,$V35-4,0))</f>
        <v>CID001490</v>
      </c>
      <c r="G35" s="216" t="str">
        <f ca="1">IF(C35=$X$4,"Enter smelter details", IF(ISERROR($V35),"",OFFSET('Smelter Look-up'!$F$4,$V35-4,0)))</f>
        <v>RMI</v>
      </c>
      <c r="H35" s="217">
        <f ca="1">IF(ISERROR($V35),"",OFFSET('Smelter Look-up'!$G$4,$V35-4,0))</f>
        <v>0</v>
      </c>
      <c r="I35" s="218" t="str">
        <f ca="1">IF(ISERROR($V35),"",OFFSET('Smelter Look-up'!$H$4,$V35-4,0))</f>
        <v>Pangkal Pinang</v>
      </c>
      <c r="J35" s="218" t="str">
        <f ca="1">IF(ISERROR($V35),"",OFFSET('Smelter Look-up'!$I$4,$V35-4,0))</f>
        <v>Kepulauan Bangka Belitung</v>
      </c>
      <c r="K35" s="267"/>
      <c r="L35" s="267"/>
      <c r="M35" s="267"/>
      <c r="N35" s="267"/>
      <c r="O35" s="267"/>
      <c r="P35" s="219"/>
      <c r="Q35" s="268" t="s">
        <v>15507</v>
      </c>
      <c r="R35" s="216" t="str">
        <f ca="1">IF(ISERROR($V35),"",OFFSET('Smelter Look-up'!$C$4,$V35-4,0)&amp;"")</f>
        <v>PT Tinindo Inter Nusa</v>
      </c>
      <c r="S35" s="224" t="str">
        <f t="shared" ca="1" si="0"/>
        <v>ID</v>
      </c>
      <c r="T35" s="224" t="str">
        <f ca="1">IF(B35="","",IF(ISERROR(MATCH($J35,SorP!$B$1:$B$6230,0)),"",INDIRECT("'SorP'!$A$"&amp;MATCH($J35,SorP!$B$1:$B$6230,0))))</f>
        <v>ID-BB</v>
      </c>
      <c r="U35" s="239"/>
      <c r="V35" s="269">
        <f ca="1">IF(C35="",NA(),MATCH($B35&amp;$C35,'Smelter Look-up'!$J:$J,0))</f>
        <v>474</v>
      </c>
      <c r="W35" s="270"/>
      <c r="X35" s="270">
        <f t="shared" ca="1" si="1"/>
        <v>0</v>
      </c>
      <c r="Y35" s="270"/>
      <c r="Z35" s="270"/>
      <c r="AB35" s="272" t="str">
        <f t="shared" ca="1" si="2"/>
        <v>TinPT Tinindo Inter Nusa</v>
      </c>
    </row>
    <row r="36" spans="1:28" s="271" customFormat="1" ht="27.95" customHeight="1">
      <c r="A36" s="215" t="s">
        <v>2707</v>
      </c>
      <c r="B36" s="216" t="str">
        <f ca="1">IF(LEN(A36)=0,"",INDEX('Smelter Look-up'!$A:$A,MATCH($A36,'Smelter Look-up'!$E:$E,0)))</f>
        <v>Tin</v>
      </c>
      <c r="C36" s="220" t="str">
        <f ca="1">IF(LEN(A36)=0,"",INDEX('Smelter Look-up'!$C:$C,MATCH($A36,'Smelter Look-up'!$E:$E,0)))</f>
        <v>PT Rajehan Ariq</v>
      </c>
      <c r="D36" s="216"/>
      <c r="E36" s="216" t="str">
        <f ca="1">IF(ISERROR($V36),"",OFFSET('Smelter Look-up'!$D$4,$V36-4,0)&amp;"")</f>
        <v>INDONESIA</v>
      </c>
      <c r="F36" s="216" t="str">
        <f ca="1">IF(ISERROR($V36),"",OFFSET('Smelter Look-up'!$E$4,$V36-4,0))</f>
        <v>CID002593</v>
      </c>
      <c r="G36" s="216" t="str">
        <f ca="1">IF(C36=$X$4,"Enter smelter details", IF(ISERROR($V36),"",OFFSET('Smelter Look-up'!$F$4,$V36-4,0)))</f>
        <v>RMI</v>
      </c>
      <c r="H36" s="217">
        <f ca="1">IF(ISERROR($V36),"",OFFSET('Smelter Look-up'!$G$4,$V36-4,0))</f>
        <v>0</v>
      </c>
      <c r="I36" s="218" t="str">
        <f ca="1">IF(ISERROR($V36),"",OFFSET('Smelter Look-up'!$H$4,$V36-4,0))</f>
        <v>Pangkal Pinang</v>
      </c>
      <c r="J36" s="218" t="str">
        <f ca="1">IF(ISERROR($V36),"",OFFSET('Smelter Look-up'!$I$4,$V36-4,0))</f>
        <v>Kepulauan Bangka Belitung</v>
      </c>
      <c r="K36" s="267"/>
      <c r="L36" s="267"/>
      <c r="M36" s="267"/>
      <c r="N36" s="267"/>
      <c r="O36" s="267"/>
      <c r="P36" s="219"/>
      <c r="Q36" s="268" t="s">
        <v>15507</v>
      </c>
      <c r="R36" s="216" t="str">
        <f ca="1">IF(ISERROR($V36),"",OFFSET('Smelter Look-up'!$C$4,$V36-4,0)&amp;"")</f>
        <v>PT Rajehan Ariq</v>
      </c>
      <c r="S36" s="224" t="str">
        <f t="shared" ca="1" si="0"/>
        <v>ID</v>
      </c>
      <c r="T36" s="224" t="str">
        <f ca="1">IF(B36="","",IF(ISERROR(MATCH($J36,SorP!$B$1:$B$6230,0)),"",INDIRECT("'SorP'!$A$"&amp;MATCH($J36,SorP!$B$1:$B$6230,0))))</f>
        <v>ID-BB</v>
      </c>
      <c r="U36" s="239"/>
      <c r="V36" s="269">
        <f ca="1">IF(C36="",NA(),MATCH($B36&amp;$C36,'Smelter Look-up'!$J:$J,0))</f>
        <v>465</v>
      </c>
      <c r="W36" s="270"/>
      <c r="X36" s="270">
        <f t="shared" ca="1" si="1"/>
        <v>0</v>
      </c>
      <c r="Y36" s="270"/>
      <c r="Z36" s="270"/>
      <c r="AB36" s="272" t="str">
        <f t="shared" ca="1" si="2"/>
        <v>TinPT Rajehan Ariq</v>
      </c>
    </row>
    <row r="37" spans="1:28" s="271" customFormat="1" ht="27.95" customHeight="1">
      <c r="A37" s="215" t="s">
        <v>792</v>
      </c>
      <c r="B37" s="216" t="str">
        <f ca="1">IF(LEN(A37)=0,"",INDEX('Smelter Look-up'!$A:$A,MATCH($A37,'Smelter Look-up'!$E:$E,0)))</f>
        <v>Gold</v>
      </c>
      <c r="C37" s="220" t="str">
        <f ca="1">IF(LEN(A37)=0,"",INDEX('Smelter Look-up'!$C:$C,MATCH($A37,'Smelter Look-up'!$E:$E,0)))</f>
        <v>LS-NIKKO Copper Inc.</v>
      </c>
      <c r="D37" s="216" t="s">
        <v>60</v>
      </c>
      <c r="E37" s="216" t="str">
        <f ca="1">IF(ISERROR($V37),"",OFFSET('Smelter Look-up'!$D$4,$V37-4,0)&amp;"")</f>
        <v>KOREA, REPUBLIC OF</v>
      </c>
      <c r="F37" s="216" t="str">
        <f ca="1">IF(ISERROR($V37),"",OFFSET('Smelter Look-up'!$E$4,$V37-4,0))</f>
        <v>CID001078</v>
      </c>
      <c r="G37" s="216" t="str">
        <f ca="1">IF(C37=$X$4,"Enter smelter details", IF(ISERROR($V37),"",OFFSET('Smelter Look-up'!$F$4,$V37-4,0)))</f>
        <v>RMI</v>
      </c>
      <c r="H37" s="217" t="s">
        <v>15510</v>
      </c>
      <c r="I37" s="218" t="str">
        <f ca="1">IF(ISERROR($V37),"",OFFSET('Smelter Look-up'!$H$4,$V37-4,0))</f>
        <v>Onsan-eup</v>
      </c>
      <c r="J37" s="218" t="str">
        <f ca="1">IF(ISERROR($V37),"",OFFSET('Smelter Look-up'!$I$4,$V37-4,0))</f>
        <v>Ulsan-gwangyeoksi</v>
      </c>
      <c r="K37" s="267" t="s">
        <v>15517</v>
      </c>
      <c r="L37" s="267" t="s">
        <v>15518</v>
      </c>
      <c r="M37" s="267" t="s">
        <v>15519</v>
      </c>
      <c r="N37" s="267" t="s">
        <v>15520</v>
      </c>
      <c r="O37" s="267" t="s">
        <v>15521</v>
      </c>
      <c r="P37" s="219" t="s">
        <v>559</v>
      </c>
      <c r="Q37" s="268" t="s">
        <v>15523</v>
      </c>
      <c r="R37" s="216" t="str">
        <f ca="1">IF(ISERROR($V37),"",OFFSET('Smelter Look-up'!$C$4,$V37-4,0)&amp;"")</f>
        <v>LS-NIKKO Copper Inc.</v>
      </c>
      <c r="S37" s="224" t="str">
        <f t="shared" ca="1" si="0"/>
        <v>KR</v>
      </c>
      <c r="T37" s="224" t="str">
        <f ca="1">IF(B37="","",IF(ISERROR(MATCH($J37,SorP!$B$1:$B$6230,0)),"",INDIRECT("'SorP'!$A$"&amp;MATCH($J37,SorP!$B$1:$B$6230,0))))</f>
        <v>KR-31</v>
      </c>
      <c r="U37" s="239"/>
      <c r="V37" s="269">
        <f ca="1">IF(C37="",NA(),MATCH($B37&amp;$C37,'Smelter Look-up'!$J:$J,0))</f>
        <v>135</v>
      </c>
      <c r="W37" s="270"/>
      <c r="X37" s="270">
        <f t="shared" ca="1" si="1"/>
        <v>0</v>
      </c>
      <c r="Y37" s="270"/>
      <c r="Z37" s="270"/>
      <c r="AB37" s="272" t="str">
        <f t="shared" ca="1" si="2"/>
        <v>GoldLS-NIKKO Copper Inc.</v>
      </c>
    </row>
    <row r="38" spans="1:28" s="271" customFormat="1" ht="27.95" customHeight="1">
      <c r="A38" s="215" t="s">
        <v>914</v>
      </c>
      <c r="B38" s="216" t="str">
        <f ca="1">IF(LEN(A38)=0,"",INDEX('Smelter Look-up'!$A:$A,MATCH($A38,'Smelter Look-up'!$E:$E,0)))</f>
        <v>Tin</v>
      </c>
      <c r="C38" s="220" t="str">
        <f ca="1">IF(LEN(A38)=0,"",INDEX('Smelter Look-up'!$C:$C,MATCH($A38,'Smelter Look-up'!$E:$E,0)))</f>
        <v>PT Timah Tbk Kundur</v>
      </c>
      <c r="D38" s="216" t="s">
        <v>15509</v>
      </c>
      <c r="E38" s="216" t="str">
        <f ca="1">IF(ISERROR($V38),"",OFFSET('Smelter Look-up'!$D$4,$V38-4,0)&amp;"")</f>
        <v>INDONESIA</v>
      </c>
      <c r="F38" s="216" t="str">
        <f ca="1">IF(ISERROR($V38),"",OFFSET('Smelter Look-up'!$E$4,$V38-4,0))</f>
        <v>CID001477</v>
      </c>
      <c r="G38" s="216" t="str">
        <f ca="1">IF(C38=$X$4,"Enter smelter details", IF(ISERROR($V38),"",OFFSET('Smelter Look-up'!$F$4,$V38-4,0)))</f>
        <v>RMI</v>
      </c>
      <c r="H38" s="217" t="s">
        <v>15511</v>
      </c>
      <c r="I38" s="218" t="s">
        <v>2049</v>
      </c>
      <c r="J38" s="218" t="s">
        <v>13917</v>
      </c>
      <c r="K38" s="267" t="s">
        <v>15515</v>
      </c>
      <c r="L38" s="267" t="s">
        <v>15516</v>
      </c>
      <c r="M38" s="267"/>
      <c r="N38" s="267" t="s">
        <v>15509</v>
      </c>
      <c r="O38" s="267" t="s">
        <v>1225</v>
      </c>
      <c r="P38" s="219" t="s">
        <v>559</v>
      </c>
      <c r="Q38" s="268" t="s">
        <v>15507</v>
      </c>
      <c r="R38" s="216" t="str">
        <f ca="1">IF(ISERROR($V38),"",OFFSET('Smelter Look-up'!$C$4,$V38-4,0)&amp;"")</f>
        <v>PT Timah Tbk Kundur</v>
      </c>
      <c r="S38" s="224" t="str">
        <f t="shared" ca="1" si="0"/>
        <v>ID</v>
      </c>
      <c r="T38" s="224" t="str">
        <f ca="1">IF(B38="","",IF(ISERROR(MATCH($J38,SorP!$B$1:$B$6230,0)),"",INDIRECT("'SorP'!$A$"&amp;MATCH($J38,SorP!$B$1:$B$6230,0))))</f>
        <v>ID-BB</v>
      </c>
      <c r="U38" s="239"/>
      <c r="V38" s="269">
        <f ca="1">IF(C38="",NA(),MATCH($B38&amp;$C38,'Smelter Look-up'!$J:$J,0))</f>
        <v>472</v>
      </c>
      <c r="W38" s="270"/>
      <c r="X38" s="270">
        <f t="shared" ca="1" si="1"/>
        <v>0</v>
      </c>
      <c r="Y38" s="270"/>
      <c r="Z38" s="270"/>
      <c r="AB38" s="272" t="str">
        <f t="shared" ca="1" si="2"/>
        <v>TinPT Timah Tbk Kundur</v>
      </c>
    </row>
    <row r="39" spans="1:28" s="271" customFormat="1" ht="27.95" customHeight="1">
      <c r="A39" s="215" t="s">
        <v>913</v>
      </c>
      <c r="B39" s="216" t="str">
        <f ca="1">IF(LEN(A39)=0,"",INDEX('Smelter Look-up'!$A:$A,MATCH($A39,'Smelter Look-up'!$E:$E,0)))</f>
        <v>Tungsten</v>
      </c>
      <c r="C39" s="220" t="str">
        <f ca="1">IF(LEN(A39)=0,"",INDEX('Smelter Look-up'!$C:$C,MATCH($A39,'Smelter Look-up'!$E:$E,0)))</f>
        <v>Xiamen Tungsten Co., Ltd.</v>
      </c>
      <c r="D39" s="216"/>
      <c r="E39" s="216" t="str">
        <f ca="1">IF(ISERROR($V39),"",OFFSET('Smelter Look-up'!$D$4,$V39-4,0)&amp;"")</f>
        <v>CHINA</v>
      </c>
      <c r="F39" s="216" t="str">
        <f ca="1">IF(ISERROR($V39),"",OFFSET('Smelter Look-up'!$E$4,$V39-4,0))</f>
        <v>CID002082</v>
      </c>
      <c r="G39" s="216" t="str">
        <f ca="1">IF(C39=$X$4,"Enter smelter details", IF(ISERROR($V39),"",OFFSET('Smelter Look-up'!$F$4,$V39-4,0)))</f>
        <v>RMI</v>
      </c>
      <c r="H39" s="217">
        <f ca="1">IF(ISERROR($V39),"",OFFSET('Smelter Look-up'!$G$4,$V39-4,0))</f>
        <v>0</v>
      </c>
      <c r="I39" s="218" t="str">
        <f ca="1">IF(ISERROR($V39),"",OFFSET('Smelter Look-up'!$H$4,$V39-4,0))</f>
        <v>Xiamen</v>
      </c>
      <c r="J39" s="218" t="str">
        <f ca="1">IF(ISERROR($V39),"",OFFSET('Smelter Look-up'!$I$4,$V39-4,0))</f>
        <v>Fujian Sheng</v>
      </c>
      <c r="K39" s="267"/>
      <c r="L39" s="267"/>
      <c r="M39" s="267"/>
      <c r="N39" s="267"/>
      <c r="O39" s="267"/>
      <c r="P39" s="219"/>
      <c r="Q39" s="268" t="s">
        <v>15540</v>
      </c>
      <c r="R39" s="216" t="str">
        <f ca="1">IF(ISERROR($V39),"",OFFSET('Smelter Look-up'!$C$4,$V39-4,0)&amp;"")</f>
        <v>Xiamen Tungsten Co., Ltd.</v>
      </c>
      <c r="S39" s="224" t="str">
        <f t="shared" ca="1" si="0"/>
        <v>CN</v>
      </c>
      <c r="T39" s="224" t="str">
        <f ca="1">IF(B39="","",IF(ISERROR(MATCH($J39,SorP!$B$1:$B$6230,0)),"",INDIRECT("'SorP'!$A$"&amp;MATCH($J39,SorP!$B$1:$B$6230,0))))</f>
        <v>CN-FJ</v>
      </c>
      <c r="U39" s="239"/>
      <c r="V39" s="269">
        <f ca="1">IF(C39="",NA(),MATCH($B39&amp;$C39,'Smelter Look-up'!$J:$J,0))</f>
        <v>582</v>
      </c>
      <c r="W39" s="270"/>
      <c r="X39" s="270">
        <f t="shared" ca="1" si="1"/>
        <v>0</v>
      </c>
      <c r="Y39" s="270"/>
      <c r="Z39" s="270"/>
      <c r="AB39" s="272" t="str">
        <f t="shared" ca="1" si="2"/>
        <v>TungstenXiamen Tungsten Co., Ltd.</v>
      </c>
    </row>
    <row r="40" spans="1:28" s="271" customFormat="1" ht="27.95" customHeight="1">
      <c r="A40" s="215" t="s">
        <v>907</v>
      </c>
      <c r="B40" s="216" t="str">
        <f ca="1">IF(LEN(A40)=0,"",INDEX('Smelter Look-up'!$A:$A,MATCH($A40,'Smelter Look-up'!$E:$E,0)))</f>
        <v>Tungsten</v>
      </c>
      <c r="C40" s="220" t="str">
        <f ca="1">IF(LEN(A40)=0,"",INDEX('Smelter Look-up'!$C:$C,MATCH($A40,'Smelter Look-up'!$E:$E,0)))</f>
        <v>Hunan Chunchang Nonferrous Metals Co., Ltd.</v>
      </c>
      <c r="D40" s="216"/>
      <c r="E40" s="216" t="str">
        <f ca="1">IF(ISERROR($V40),"",OFFSET('Smelter Look-up'!$D$4,$V40-4,0)&amp;"")</f>
        <v>CHINA</v>
      </c>
      <c r="F40" s="216" t="str">
        <f ca="1">IF(ISERROR($V40),"",OFFSET('Smelter Look-up'!$E$4,$V40-4,0))</f>
        <v>CID000769</v>
      </c>
      <c r="G40" s="216" t="str">
        <f ca="1">IF(C40=$X$4,"Enter smelter details", IF(ISERROR($V40),"",OFFSET('Smelter Look-up'!$F$4,$V40-4,0)))</f>
        <v>RMI</v>
      </c>
      <c r="H40" s="217">
        <f ca="1">IF(ISERROR($V40),"",OFFSET('Smelter Look-up'!$G$4,$V40-4,0))</f>
        <v>0</v>
      </c>
      <c r="I40" s="218" t="str">
        <f ca="1">IF(ISERROR($V40),"",OFFSET('Smelter Look-up'!$H$4,$V40-4,0))</f>
        <v>Hengyang</v>
      </c>
      <c r="J40" s="218" t="str">
        <f ca="1">IF(ISERROR($V40),"",OFFSET('Smelter Look-up'!$I$4,$V40-4,0))</f>
        <v>Hunan Sheng</v>
      </c>
      <c r="K40" s="267"/>
      <c r="L40" s="267"/>
      <c r="M40" s="267"/>
      <c r="N40" s="267"/>
      <c r="O40" s="267"/>
      <c r="P40" s="219"/>
      <c r="Q40" s="268" t="s">
        <v>15540</v>
      </c>
      <c r="R40" s="216" t="str">
        <f ca="1">IF(ISERROR($V40),"",OFFSET('Smelter Look-up'!$C$4,$V40-4,0)&amp;"")</f>
        <v>Hunan Chunchang Nonferrous Metals Co., Ltd.</v>
      </c>
      <c r="S40" s="224" t="str">
        <f t="shared" ca="1" si="0"/>
        <v>CN</v>
      </c>
      <c r="T40" s="224" t="str">
        <f ca="1">IF(B40="","",IF(ISERROR(MATCH($J40,SorP!$B$1:$B$6230,0)),"",INDIRECT("'SorP'!$A$"&amp;MATCH($J40,SorP!$B$1:$B$6230,0))))</f>
        <v>CN-HN</v>
      </c>
      <c r="U40" s="239"/>
      <c r="V40" s="269">
        <f ca="1">IF(C40="",NA(),MATCH($B40&amp;$C40,'Smelter Look-up'!$J:$J,0))</f>
        <v>547</v>
      </c>
      <c r="W40" s="270"/>
      <c r="X40" s="270">
        <f t="shared" ca="1" si="1"/>
        <v>0</v>
      </c>
      <c r="Y40" s="270"/>
      <c r="Z40" s="270"/>
      <c r="AB40" s="272" t="str">
        <f t="shared" ca="1" si="2"/>
        <v>TungstenHunan Chunchang Nonferrous Metals Co., Ltd.</v>
      </c>
    </row>
    <row r="41" spans="1:28" s="271" customFormat="1" ht="27.95" customHeight="1">
      <c r="A41" s="215" t="s">
        <v>456</v>
      </c>
      <c r="B41" s="216" t="str">
        <f ca="1">IF(LEN(A41)=0,"",INDEX('Smelter Look-up'!$A:$A,MATCH($A41,'Smelter Look-up'!$E:$E,0)))</f>
        <v>Tungsten</v>
      </c>
      <c r="C41" s="220" t="str">
        <f ca="1">IF(LEN(A41)=0,"",INDEX('Smelter Look-up'!$C:$C,MATCH($A41,'Smelter Look-up'!$E:$E,0)))</f>
        <v>Ganzhou Seadragon W &amp; Mo Co., Ltd.</v>
      </c>
      <c r="D41" s="216"/>
      <c r="E41" s="216" t="str">
        <f ca="1">IF(ISERROR($V41),"",OFFSET('Smelter Look-up'!$D$4,$V41-4,0)&amp;"")</f>
        <v>CHINA</v>
      </c>
      <c r="F41" s="216" t="str">
        <f ca="1">IF(ISERROR($V41),"",OFFSET('Smelter Look-up'!$E$4,$V41-4,0))</f>
        <v>CID002494</v>
      </c>
      <c r="G41" s="216" t="str">
        <f ca="1">IF(C41=$X$4,"Enter smelter details", IF(ISERROR($V41),"",OFFSET('Smelter Look-up'!$F$4,$V41-4,0)))</f>
        <v>RMI</v>
      </c>
      <c r="H41" s="217">
        <f ca="1">IF(ISERROR($V41),"",OFFSET('Smelter Look-up'!$G$4,$V41-4,0))</f>
        <v>0</v>
      </c>
      <c r="I41" s="218" t="str">
        <f ca="1">IF(ISERROR($V41),"",OFFSET('Smelter Look-up'!$H$4,$V41-4,0))</f>
        <v>Ganzhou</v>
      </c>
      <c r="J41" s="218" t="str">
        <f ca="1">IF(ISERROR($V41),"",OFFSET('Smelter Look-up'!$I$4,$V41-4,0))</f>
        <v>Jiangxi Sheng</v>
      </c>
      <c r="K41" s="267"/>
      <c r="L41" s="267"/>
      <c r="M41" s="267"/>
      <c r="N41" s="267"/>
      <c r="O41" s="267"/>
      <c r="P41" s="219"/>
      <c r="Q41" s="268" t="s">
        <v>15540</v>
      </c>
      <c r="R41" s="216" t="str">
        <f ca="1">IF(ISERROR($V41),"",OFFSET('Smelter Look-up'!$C$4,$V41-4,0)&amp;"")</f>
        <v>Ganzhou Seadragon W &amp; Mo Co., Ltd.</v>
      </c>
      <c r="S41" s="224" t="str">
        <f t="shared" ca="1" si="0"/>
        <v>CN</v>
      </c>
      <c r="T41" s="224" t="str">
        <f ca="1">IF(B41="","",IF(ISERROR(MATCH($J41,SorP!$B$1:$B$6230,0)),"",INDIRECT("'SorP'!$A$"&amp;MATCH($J41,SorP!$B$1:$B$6230,0))))</f>
        <v>CN-JX</v>
      </c>
      <c r="U41" s="239"/>
      <c r="V41" s="269">
        <f ca="1">IF(C41="",NA(),MATCH($B41&amp;$C41,'Smelter Look-up'!$J:$J,0))</f>
        <v>536</v>
      </c>
      <c r="W41" s="270"/>
      <c r="X41" s="270">
        <f t="shared" ca="1" si="1"/>
        <v>0</v>
      </c>
      <c r="Y41" s="270"/>
      <c r="Z41" s="270"/>
      <c r="AB41" s="272" t="str">
        <f t="shared" ca="1" si="2"/>
        <v>TungstenGanzhou Seadragon W &amp; Mo Co., Ltd.</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VLSI Solution Oy</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All VS1005 versions with Flash memory (VS1x05-F-Q) and VS23S040-B, see the "Product List" sheet</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Jori Simpanen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prod@vlsi.fi</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+358 50 462 3200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Teppo Karema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sales@vlsi.fi</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+358 50 462 3200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43703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http://www.vlsi.fi/fileadmin/quality/Conflict_Minerals_Elimination_Statement_2018.pdf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Normal="100" zoomScalePageLayoutView="70" workbookViewId="0">
      <pane xSplit="2" ySplit="5" topLeftCell="C6" activePane="bottomRight" state="frozen"/>
      <selection pane="topRight" activeCell="C1" sqref="C1"/>
      <selection pane="bottomLeft" activeCell="A6" sqref="A6"/>
      <selection pane="bottomRight" activeCell="D10" sqref="D10"/>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t="s">
        <v>15502</v>
      </c>
      <c r="C6" s="115"/>
      <c r="D6" s="115" t="s">
        <v>15545</v>
      </c>
      <c r="E6" s="32"/>
      <c r="F6"/>
    </row>
    <row r="7" spans="1:6" s="33" customFormat="1" ht="15.75">
      <c r="A7" s="162"/>
      <c r="B7" s="152" t="s">
        <v>15503</v>
      </c>
      <c r="C7" s="115"/>
      <c r="D7" s="115" t="s">
        <v>15545</v>
      </c>
      <c r="E7" s="32"/>
      <c r="F7"/>
    </row>
    <row r="8" spans="1:6" s="33" customFormat="1" ht="15.75">
      <c r="A8" s="162"/>
      <c r="B8" s="152" t="s">
        <v>15504</v>
      </c>
      <c r="C8" s="115"/>
      <c r="D8" s="115" t="s">
        <v>15545</v>
      </c>
      <c r="E8" s="32"/>
      <c r="F8"/>
    </row>
    <row r="9" spans="1:6" s="33" customFormat="1" ht="15.75">
      <c r="A9" s="162"/>
      <c r="B9" s="152" t="s">
        <v>15505</v>
      </c>
      <c r="C9" s="115"/>
      <c r="D9" s="115" t="s">
        <v>15545</v>
      </c>
      <c r="E9" s="32"/>
      <c r="F9"/>
    </row>
    <row r="10" spans="1:6" s="33" customFormat="1" ht="15.75">
      <c r="A10" s="162"/>
      <c r="B10" s="152" t="s">
        <v>15508</v>
      </c>
      <c r="C10" s="115"/>
      <c r="D10" s="115" t="s">
        <v>15506</v>
      </c>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mikkihiiri</cp:lastModifiedBy>
  <cp:lastPrinted>2015-04-21T20:47:43Z</cp:lastPrinted>
  <dcterms:created xsi:type="dcterms:W3CDTF">2010-06-21T21:00:23Z</dcterms:created>
  <dcterms:modified xsi:type="dcterms:W3CDTF">2019-08-27T15:52:55Z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